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date1904="1" showInkAnnotation="0" autoCompressPictures="0"/>
  <bookViews>
    <workbookView xWindow="11080" yWindow="0" windowWidth="24620" windowHeight="27040" tabRatio="190"/>
  </bookViews>
  <sheets>
    <sheet name="Data Sheet" sheetId="1" r:id="rId1"/>
    <sheet name="Chart" sheetId="7" r:id="rId2"/>
  </sheets>
  <definedNames>
    <definedName name="A">'Data Sheet'!$J$25</definedName>
    <definedName name="Best_Hold_Minimum">'Data Sheet'!$C$24</definedName>
    <definedName name="Click_Value">'Data Sheet'!$D$20</definedName>
    <definedName name="Clicks_per_Revolution">'Data Sheet'!$C$19</definedName>
    <definedName name="Clicks_to_10y">'Data Sheet'!#REF!</definedName>
    <definedName name="Denominator">'Data Sheet'!$C$30</definedName>
    <definedName name="Gravitational">'Data Sheet'!$C$29</definedName>
    <definedName name="MOA_Factor">'Data Sheet'!$C$32</definedName>
    <definedName name="Muzzle_Velocity">'Data Sheet'!$C$27</definedName>
    <definedName name="_xlnm.Print_Area" localSheetId="0">'Data Sheet'!$X$7:$AI$40</definedName>
    <definedName name="Scope_Height">'Data Sheet'!$C$21</definedName>
    <definedName name="Slope_Angle">'Data Sheet'!#REF!</definedName>
    <definedName name="Traj._Coefficient">'Data Sheet'!$C$31</definedName>
    <definedName name="Turret_Max">'Data Sheet'!$D$18</definedName>
    <definedName name="Turret_Subdivisions">'Data Sheet'!$C$18</definedName>
    <definedName name="VRF">'Data Sheet'!$C$26</definedName>
    <definedName name="VRF_Distance">'Data Sheet'!#REF!</definedName>
    <definedName name="Weight">'Data Sheet'!$C$11</definedName>
    <definedName name="Wind_Speed">'Data Sheet'!$C$33</definedName>
    <definedName name="X">'Data Sheet'!$G$25</definedName>
    <definedName name="Zero_Distance">'Data Sheet'!$C$22</definedName>
  </definedName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I25" i="1"/>
  <c r="J25" i="1"/>
  <c r="M66" i="1"/>
  <c r="N66" i="1"/>
  <c r="O66" i="1"/>
  <c r="P66" i="1"/>
  <c r="Q66" i="1"/>
  <c r="AC37" i="1"/>
  <c r="M65" i="1"/>
  <c r="N65" i="1"/>
  <c r="O65" i="1"/>
  <c r="P65" i="1"/>
  <c r="Q65" i="1"/>
  <c r="AC36" i="1"/>
  <c r="M64" i="1"/>
  <c r="N64" i="1"/>
  <c r="O64" i="1"/>
  <c r="P64" i="1"/>
  <c r="Q64" i="1"/>
  <c r="AC35" i="1"/>
  <c r="M50" i="1"/>
  <c r="N50" i="1"/>
  <c r="O50" i="1"/>
  <c r="P50" i="1"/>
  <c r="Q50" i="1"/>
  <c r="AH9" i="1"/>
  <c r="AI9" i="1"/>
  <c r="M51" i="1"/>
  <c r="N51" i="1"/>
  <c r="O51" i="1"/>
  <c r="P51" i="1"/>
  <c r="Q51" i="1"/>
  <c r="AH10" i="1"/>
  <c r="AI10" i="1"/>
  <c r="M52" i="1"/>
  <c r="N52" i="1"/>
  <c r="O52" i="1"/>
  <c r="P52" i="1"/>
  <c r="Q52" i="1"/>
  <c r="AH11" i="1"/>
  <c r="AI11" i="1"/>
  <c r="M53" i="1"/>
  <c r="N53" i="1"/>
  <c r="O53" i="1"/>
  <c r="P53" i="1"/>
  <c r="Q53" i="1"/>
  <c r="AH12" i="1"/>
  <c r="AI12" i="1"/>
  <c r="M54" i="1"/>
  <c r="N54" i="1"/>
  <c r="O54" i="1"/>
  <c r="P54" i="1"/>
  <c r="Q54" i="1"/>
  <c r="AH13" i="1"/>
  <c r="AI13" i="1"/>
  <c r="M55" i="1"/>
  <c r="N55" i="1"/>
  <c r="O55" i="1"/>
  <c r="P55" i="1"/>
  <c r="Q55" i="1"/>
  <c r="AH14" i="1"/>
  <c r="AI14" i="1"/>
  <c r="M56" i="1"/>
  <c r="N56" i="1"/>
  <c r="O56" i="1"/>
  <c r="P56" i="1"/>
  <c r="Q56" i="1"/>
  <c r="AH15" i="1"/>
  <c r="AI15" i="1"/>
  <c r="M57" i="1"/>
  <c r="N57" i="1"/>
  <c r="O57" i="1"/>
  <c r="P57" i="1"/>
  <c r="Q57" i="1"/>
  <c r="AH16" i="1"/>
  <c r="AI16" i="1"/>
  <c r="M58" i="1"/>
  <c r="N58" i="1"/>
  <c r="O58" i="1"/>
  <c r="P58" i="1"/>
  <c r="Q58" i="1"/>
  <c r="AH17" i="1"/>
  <c r="AI17" i="1"/>
  <c r="M59" i="1"/>
  <c r="N59" i="1"/>
  <c r="O59" i="1"/>
  <c r="P59" i="1"/>
  <c r="Q59" i="1"/>
  <c r="AH18" i="1"/>
  <c r="AI18" i="1"/>
  <c r="M60" i="1"/>
  <c r="N60" i="1"/>
  <c r="O60" i="1"/>
  <c r="P60" i="1"/>
  <c r="Q60" i="1"/>
  <c r="AH19" i="1"/>
  <c r="AI19" i="1"/>
  <c r="M61" i="1"/>
  <c r="N61" i="1"/>
  <c r="O61" i="1"/>
  <c r="P61" i="1"/>
  <c r="Q61" i="1"/>
  <c r="AH20" i="1"/>
  <c r="AI20" i="1"/>
  <c r="M62" i="1"/>
  <c r="N62" i="1"/>
  <c r="O62" i="1"/>
  <c r="P62" i="1"/>
  <c r="Q62" i="1"/>
  <c r="AH21" i="1"/>
  <c r="AI21" i="1"/>
  <c r="M63" i="1"/>
  <c r="N63" i="1"/>
  <c r="O63" i="1"/>
  <c r="P63" i="1"/>
  <c r="Q63" i="1"/>
  <c r="AH22" i="1"/>
  <c r="AI22" i="1"/>
  <c r="M49" i="1"/>
  <c r="N49" i="1"/>
  <c r="AI8" i="1"/>
  <c r="O49" i="1"/>
  <c r="P49" i="1"/>
  <c r="Q49" i="1"/>
  <c r="AH8" i="1"/>
  <c r="M35" i="1"/>
  <c r="N35" i="1"/>
  <c r="O35" i="1"/>
  <c r="P35" i="1"/>
  <c r="Q35" i="1"/>
  <c r="AE9" i="1"/>
  <c r="AF9" i="1"/>
  <c r="M36" i="1"/>
  <c r="N36" i="1"/>
  <c r="O36" i="1"/>
  <c r="P36" i="1"/>
  <c r="Q36" i="1"/>
  <c r="AE10" i="1"/>
  <c r="AF10" i="1"/>
  <c r="M37" i="1"/>
  <c r="N37" i="1"/>
  <c r="O37" i="1"/>
  <c r="P37" i="1"/>
  <c r="Q37" i="1"/>
  <c r="AE11" i="1"/>
  <c r="AF11" i="1"/>
  <c r="M38" i="1"/>
  <c r="N38" i="1"/>
  <c r="O38" i="1"/>
  <c r="P38" i="1"/>
  <c r="Q38" i="1"/>
  <c r="AE12" i="1"/>
  <c r="AF12" i="1"/>
  <c r="M39" i="1"/>
  <c r="N39" i="1"/>
  <c r="O39" i="1"/>
  <c r="P39" i="1"/>
  <c r="Q39" i="1"/>
  <c r="AE13" i="1"/>
  <c r="AF13" i="1"/>
  <c r="M40" i="1"/>
  <c r="N40" i="1"/>
  <c r="O40" i="1"/>
  <c r="P40" i="1"/>
  <c r="Q40" i="1"/>
  <c r="AE14" i="1"/>
  <c r="AF14" i="1"/>
  <c r="M41" i="1"/>
  <c r="N41" i="1"/>
  <c r="O41" i="1"/>
  <c r="P41" i="1"/>
  <c r="Q41" i="1"/>
  <c r="AE15" i="1"/>
  <c r="AF15" i="1"/>
  <c r="M42" i="1"/>
  <c r="N42" i="1"/>
  <c r="O42" i="1"/>
  <c r="P42" i="1"/>
  <c r="Q42" i="1"/>
  <c r="AE16" i="1"/>
  <c r="AF16" i="1"/>
  <c r="M43" i="1"/>
  <c r="N43" i="1"/>
  <c r="O43" i="1"/>
  <c r="P43" i="1"/>
  <c r="Q43" i="1"/>
  <c r="AE17" i="1"/>
  <c r="AF17" i="1"/>
  <c r="M44" i="1"/>
  <c r="N44" i="1"/>
  <c r="O44" i="1"/>
  <c r="P44" i="1"/>
  <c r="Q44" i="1"/>
  <c r="AE18" i="1"/>
  <c r="AF18" i="1"/>
  <c r="M45" i="1"/>
  <c r="N45" i="1"/>
  <c r="O45" i="1"/>
  <c r="P45" i="1"/>
  <c r="Q45" i="1"/>
  <c r="AE19" i="1"/>
  <c r="AF19" i="1"/>
  <c r="M46" i="1"/>
  <c r="N46" i="1"/>
  <c r="O46" i="1"/>
  <c r="P46" i="1"/>
  <c r="Q46" i="1"/>
  <c r="AE20" i="1"/>
  <c r="AF20" i="1"/>
  <c r="M47" i="1"/>
  <c r="N47" i="1"/>
  <c r="O47" i="1"/>
  <c r="P47" i="1"/>
  <c r="Q47" i="1"/>
  <c r="AE21" i="1"/>
  <c r="AF21" i="1"/>
  <c r="M48" i="1"/>
  <c r="N48" i="1"/>
  <c r="O48" i="1"/>
  <c r="P48" i="1"/>
  <c r="Q48" i="1"/>
  <c r="AE22" i="1"/>
  <c r="AF22" i="1"/>
  <c r="M34" i="1"/>
  <c r="N34" i="1"/>
  <c r="AF8" i="1"/>
  <c r="O34" i="1"/>
  <c r="P34" i="1"/>
  <c r="Q34" i="1"/>
  <c r="AE8" i="1"/>
  <c r="M27" i="1"/>
  <c r="N27" i="1"/>
  <c r="O27" i="1"/>
  <c r="P27" i="1"/>
  <c r="Q27" i="1"/>
  <c r="AB16" i="1"/>
  <c r="AC16" i="1"/>
  <c r="M28" i="1"/>
  <c r="N28" i="1"/>
  <c r="O28" i="1"/>
  <c r="P28" i="1"/>
  <c r="Q28" i="1"/>
  <c r="AB17" i="1"/>
  <c r="AC17" i="1"/>
  <c r="M29" i="1"/>
  <c r="N29" i="1"/>
  <c r="O29" i="1"/>
  <c r="P29" i="1"/>
  <c r="Q29" i="1"/>
  <c r="AB18" i="1"/>
  <c r="AC18" i="1"/>
  <c r="M30" i="1"/>
  <c r="N30" i="1"/>
  <c r="O30" i="1"/>
  <c r="P30" i="1"/>
  <c r="Q30" i="1"/>
  <c r="AB19" i="1"/>
  <c r="AC19" i="1"/>
  <c r="M31" i="1"/>
  <c r="N31" i="1"/>
  <c r="O31" i="1"/>
  <c r="P31" i="1"/>
  <c r="Q31" i="1"/>
  <c r="AB20" i="1"/>
  <c r="AC20" i="1"/>
  <c r="M32" i="1"/>
  <c r="N32" i="1"/>
  <c r="O32" i="1"/>
  <c r="P32" i="1"/>
  <c r="Q32" i="1"/>
  <c r="AB21" i="1"/>
  <c r="AC21" i="1"/>
  <c r="M33" i="1"/>
  <c r="N33" i="1"/>
  <c r="O33" i="1"/>
  <c r="P33" i="1"/>
  <c r="Q33" i="1"/>
  <c r="AB22" i="1"/>
  <c r="AC22" i="1"/>
  <c r="M26" i="1"/>
  <c r="N26" i="1"/>
  <c r="O26" i="1"/>
  <c r="P26" i="1"/>
  <c r="Q26" i="1"/>
  <c r="AB15" i="1"/>
  <c r="AC15" i="1"/>
  <c r="M24" i="1"/>
  <c r="N24" i="1"/>
  <c r="AC14" i="1"/>
  <c r="O24" i="1"/>
  <c r="P24" i="1"/>
  <c r="Q24" i="1"/>
  <c r="AB14" i="1"/>
  <c r="M18" i="1"/>
  <c r="N18" i="1"/>
  <c r="O18" i="1"/>
  <c r="P18" i="1"/>
  <c r="Q18" i="1"/>
  <c r="AB9" i="1"/>
  <c r="AC9" i="1"/>
  <c r="M19" i="1"/>
  <c r="N19" i="1"/>
  <c r="O19" i="1"/>
  <c r="P19" i="1"/>
  <c r="Q19" i="1"/>
  <c r="AB10" i="1"/>
  <c r="AC10" i="1"/>
  <c r="M20" i="1"/>
  <c r="N20" i="1"/>
  <c r="O20" i="1"/>
  <c r="P20" i="1"/>
  <c r="Q20" i="1"/>
  <c r="AB11" i="1"/>
  <c r="AC11" i="1"/>
  <c r="M21" i="1"/>
  <c r="N21" i="1"/>
  <c r="O21" i="1"/>
  <c r="P21" i="1"/>
  <c r="Q21" i="1"/>
  <c r="AB12" i="1"/>
  <c r="AC12" i="1"/>
  <c r="M22" i="1"/>
  <c r="N22" i="1"/>
  <c r="O22" i="1"/>
  <c r="P22" i="1"/>
  <c r="Q22" i="1"/>
  <c r="AB13" i="1"/>
  <c r="AC13" i="1"/>
  <c r="M17" i="1"/>
  <c r="N17" i="1"/>
  <c r="AC8" i="1"/>
  <c r="O17" i="1"/>
  <c r="P17" i="1"/>
  <c r="Q17" i="1"/>
  <c r="AB8" i="1"/>
  <c r="M3" i="1"/>
  <c r="N3" i="1"/>
  <c r="O3" i="1"/>
  <c r="P3" i="1"/>
  <c r="Q3" i="1"/>
  <c r="Y9" i="1"/>
  <c r="Z9" i="1"/>
  <c r="M4" i="1"/>
  <c r="N4" i="1"/>
  <c r="O4" i="1"/>
  <c r="P4" i="1"/>
  <c r="Q4" i="1"/>
  <c r="Y10" i="1"/>
  <c r="Z10" i="1"/>
  <c r="M5" i="1"/>
  <c r="N5" i="1"/>
  <c r="O5" i="1"/>
  <c r="P5" i="1"/>
  <c r="Q5" i="1"/>
  <c r="Y11" i="1"/>
  <c r="Z11" i="1"/>
  <c r="M6" i="1"/>
  <c r="N6" i="1"/>
  <c r="O6" i="1"/>
  <c r="P6" i="1"/>
  <c r="Q6" i="1"/>
  <c r="Y12" i="1"/>
  <c r="Z12" i="1"/>
  <c r="M7" i="1"/>
  <c r="N7" i="1"/>
  <c r="O7" i="1"/>
  <c r="P7" i="1"/>
  <c r="Q7" i="1"/>
  <c r="Y13" i="1"/>
  <c r="Z13" i="1"/>
  <c r="M8" i="1"/>
  <c r="N8" i="1"/>
  <c r="O8" i="1"/>
  <c r="P8" i="1"/>
  <c r="Q8" i="1"/>
  <c r="Y14" i="1"/>
  <c r="Z14" i="1"/>
  <c r="M9" i="1"/>
  <c r="N9" i="1"/>
  <c r="O9" i="1"/>
  <c r="P9" i="1"/>
  <c r="Q9" i="1"/>
  <c r="Y15" i="1"/>
  <c r="Z15" i="1"/>
  <c r="M10" i="1"/>
  <c r="N10" i="1"/>
  <c r="O10" i="1"/>
  <c r="P10" i="1"/>
  <c r="Q10" i="1"/>
  <c r="Y16" i="1"/>
  <c r="Z16" i="1"/>
  <c r="M11" i="1"/>
  <c r="N11" i="1"/>
  <c r="O11" i="1"/>
  <c r="P11" i="1"/>
  <c r="Q11" i="1"/>
  <c r="Y17" i="1"/>
  <c r="Z17" i="1"/>
  <c r="M12" i="1"/>
  <c r="N12" i="1"/>
  <c r="O12" i="1"/>
  <c r="P12" i="1"/>
  <c r="Q12" i="1"/>
  <c r="Y18" i="1"/>
  <c r="Z18" i="1"/>
  <c r="M13" i="1"/>
  <c r="N13" i="1"/>
  <c r="O13" i="1"/>
  <c r="P13" i="1"/>
  <c r="Q13" i="1"/>
  <c r="Y19" i="1"/>
  <c r="Z19" i="1"/>
  <c r="M14" i="1"/>
  <c r="N14" i="1"/>
  <c r="O14" i="1"/>
  <c r="P14" i="1"/>
  <c r="Q14" i="1"/>
  <c r="Y20" i="1"/>
  <c r="Z20" i="1"/>
  <c r="M15" i="1"/>
  <c r="N15" i="1"/>
  <c r="O15" i="1"/>
  <c r="P15" i="1"/>
  <c r="Q15" i="1"/>
  <c r="Y21" i="1"/>
  <c r="Z21" i="1"/>
  <c r="M16" i="1"/>
  <c r="N16" i="1"/>
  <c r="O16" i="1"/>
  <c r="P16" i="1"/>
  <c r="Q16" i="1"/>
  <c r="Y22" i="1"/>
  <c r="Z22" i="1"/>
  <c r="M2" i="1"/>
  <c r="N2" i="1"/>
  <c r="Z8" i="1"/>
  <c r="O2" i="1"/>
  <c r="P2" i="1"/>
  <c r="Q2" i="1"/>
  <c r="Y8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Z28" i="1"/>
  <c r="G25" i="1"/>
  <c r="F17" i="1"/>
  <c r="F18" i="1"/>
  <c r="F19" i="1"/>
  <c r="F20" i="1"/>
  <c r="F21" i="1"/>
  <c r="F22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H58" i="1"/>
  <c r="I58" i="1"/>
  <c r="K58" i="1"/>
  <c r="D17" i="1"/>
  <c r="D20" i="1"/>
  <c r="C44" i="1"/>
  <c r="H53" i="1"/>
  <c r="I53" i="1"/>
  <c r="K53" i="1"/>
  <c r="C43" i="1"/>
  <c r="H43" i="1"/>
  <c r="I43" i="1"/>
  <c r="K43" i="1"/>
  <c r="C41" i="1"/>
  <c r="H33" i="1"/>
  <c r="I33" i="1"/>
  <c r="K33" i="1"/>
  <c r="C39" i="1"/>
  <c r="H48" i="1"/>
  <c r="I48" i="1"/>
  <c r="K48" i="1"/>
  <c r="C42" i="1"/>
  <c r="H38" i="1"/>
  <c r="I38" i="1"/>
  <c r="K38" i="1"/>
  <c r="C40" i="1"/>
  <c r="H28" i="1"/>
  <c r="I28" i="1"/>
  <c r="K28" i="1"/>
  <c r="C38" i="1"/>
  <c r="H21" i="1"/>
  <c r="I21" i="1"/>
  <c r="K21" i="1"/>
  <c r="C37" i="1"/>
  <c r="H6" i="1"/>
  <c r="I6" i="1"/>
  <c r="K6" i="1"/>
  <c r="C35" i="1"/>
  <c r="H16" i="1"/>
  <c r="I16" i="1"/>
  <c r="K16" i="1"/>
  <c r="C36" i="1"/>
  <c r="AI4" i="1"/>
  <c r="AI3" i="1"/>
  <c r="Y5" i="1"/>
  <c r="F59" i="1"/>
  <c r="F60" i="1"/>
  <c r="F61" i="1"/>
  <c r="F62" i="1"/>
  <c r="F63" i="1"/>
  <c r="H54" i="1"/>
  <c r="I54" i="1"/>
  <c r="K54" i="1"/>
  <c r="H55" i="1"/>
  <c r="I55" i="1"/>
  <c r="K55" i="1"/>
  <c r="H56" i="1"/>
  <c r="I56" i="1"/>
  <c r="K56" i="1"/>
  <c r="H57" i="1"/>
  <c r="I57" i="1"/>
  <c r="K57" i="1"/>
  <c r="H59" i="1"/>
  <c r="I59" i="1"/>
  <c r="K59" i="1"/>
  <c r="H60" i="1"/>
  <c r="I60" i="1"/>
  <c r="K60" i="1"/>
  <c r="H61" i="1"/>
  <c r="I61" i="1"/>
  <c r="K61" i="1"/>
  <c r="H62" i="1"/>
  <c r="I62" i="1"/>
  <c r="K62" i="1"/>
  <c r="H63" i="1"/>
  <c r="I63" i="1"/>
  <c r="K63" i="1"/>
  <c r="H64" i="1"/>
  <c r="I64" i="1"/>
  <c r="K64" i="1"/>
  <c r="H65" i="1"/>
  <c r="I65" i="1"/>
  <c r="K65" i="1"/>
  <c r="H66" i="1"/>
  <c r="I66" i="1"/>
  <c r="K66" i="1"/>
  <c r="H52" i="1"/>
  <c r="I52" i="1"/>
  <c r="K52" i="1"/>
  <c r="H39" i="1"/>
  <c r="I39" i="1"/>
  <c r="K39" i="1"/>
  <c r="H40" i="1"/>
  <c r="I40" i="1"/>
  <c r="K40" i="1"/>
  <c r="H41" i="1"/>
  <c r="I41" i="1"/>
  <c r="K41" i="1"/>
  <c r="H42" i="1"/>
  <c r="I42" i="1"/>
  <c r="K42" i="1"/>
  <c r="H44" i="1"/>
  <c r="I44" i="1"/>
  <c r="K44" i="1"/>
  <c r="H45" i="1"/>
  <c r="I45" i="1"/>
  <c r="K45" i="1"/>
  <c r="H46" i="1"/>
  <c r="I46" i="1"/>
  <c r="K46" i="1"/>
  <c r="H47" i="1"/>
  <c r="I47" i="1"/>
  <c r="K47" i="1"/>
  <c r="H49" i="1"/>
  <c r="I49" i="1"/>
  <c r="K49" i="1"/>
  <c r="H50" i="1"/>
  <c r="I50" i="1"/>
  <c r="K50" i="1"/>
  <c r="H51" i="1"/>
  <c r="I51" i="1"/>
  <c r="K51" i="1"/>
  <c r="H37" i="1"/>
  <c r="I37" i="1"/>
  <c r="K37" i="1"/>
  <c r="H27" i="1"/>
  <c r="I27" i="1"/>
  <c r="K27" i="1"/>
  <c r="H29" i="1"/>
  <c r="I29" i="1"/>
  <c r="K29" i="1"/>
  <c r="H30" i="1"/>
  <c r="I30" i="1"/>
  <c r="K30" i="1"/>
  <c r="H31" i="1"/>
  <c r="I31" i="1"/>
  <c r="K31" i="1"/>
  <c r="H32" i="1"/>
  <c r="I32" i="1"/>
  <c r="K32" i="1"/>
  <c r="H34" i="1"/>
  <c r="I34" i="1"/>
  <c r="K34" i="1"/>
  <c r="H35" i="1"/>
  <c r="I35" i="1"/>
  <c r="K35" i="1"/>
  <c r="H36" i="1"/>
  <c r="I36" i="1"/>
  <c r="K36" i="1"/>
  <c r="H26" i="1"/>
  <c r="I26" i="1"/>
  <c r="K26" i="1"/>
  <c r="H24" i="1"/>
  <c r="I24" i="1"/>
  <c r="K24" i="1"/>
  <c r="H22" i="1"/>
  <c r="I22" i="1"/>
  <c r="K22" i="1"/>
  <c r="H20" i="1"/>
  <c r="I20" i="1"/>
  <c r="K20" i="1"/>
  <c r="H7" i="1"/>
  <c r="I7" i="1"/>
  <c r="K7" i="1"/>
  <c r="H8" i="1"/>
  <c r="I8" i="1"/>
  <c r="K8" i="1"/>
  <c r="H9" i="1"/>
  <c r="I9" i="1"/>
  <c r="K9" i="1"/>
  <c r="H10" i="1"/>
  <c r="I10" i="1"/>
  <c r="K10" i="1"/>
  <c r="H11" i="1"/>
  <c r="I11" i="1"/>
  <c r="K11" i="1"/>
  <c r="H12" i="1"/>
  <c r="I12" i="1"/>
  <c r="K12" i="1"/>
  <c r="H13" i="1"/>
  <c r="I13" i="1"/>
  <c r="K13" i="1"/>
  <c r="H14" i="1"/>
  <c r="I14" i="1"/>
  <c r="K14" i="1"/>
  <c r="H15" i="1"/>
  <c r="I15" i="1"/>
  <c r="K15" i="1"/>
  <c r="H17" i="1"/>
  <c r="I17" i="1"/>
  <c r="K17" i="1"/>
  <c r="H18" i="1"/>
  <c r="I18" i="1"/>
  <c r="K18" i="1"/>
  <c r="H19" i="1"/>
  <c r="I19" i="1"/>
  <c r="K19" i="1"/>
  <c r="H5" i="1"/>
  <c r="I5" i="1"/>
  <c r="K5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24" i="1"/>
  <c r="H4" i="1"/>
  <c r="I4" i="1"/>
  <c r="K4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H3" i="1"/>
  <c r="I3" i="1"/>
  <c r="K3" i="1"/>
  <c r="R3" i="1"/>
  <c r="H2" i="1"/>
  <c r="I2" i="1"/>
  <c r="K2" i="1"/>
  <c r="R2" i="1"/>
  <c r="AF33" i="1"/>
  <c r="AA32" i="1"/>
  <c r="Z30" i="1"/>
  <c r="Z29" i="1"/>
  <c r="Z27" i="1"/>
  <c r="Z26" i="1"/>
  <c r="T66" i="1"/>
  <c r="T45" i="1"/>
  <c r="T22" i="1"/>
  <c r="T65" i="1"/>
  <c r="T44" i="1"/>
  <c r="T21" i="1"/>
  <c r="T64" i="1"/>
  <c r="T43" i="1"/>
  <c r="T20" i="1"/>
  <c r="T63" i="1"/>
  <c r="T42" i="1"/>
  <c r="T19" i="1"/>
  <c r="T62" i="1"/>
  <c r="T41" i="1"/>
  <c r="T18" i="1"/>
  <c r="T61" i="1"/>
  <c r="T40" i="1"/>
  <c r="T17" i="1"/>
  <c r="T60" i="1"/>
  <c r="T39" i="1"/>
  <c r="T16" i="1"/>
  <c r="T59" i="1"/>
  <c r="T38" i="1"/>
  <c r="T15" i="1"/>
  <c r="T58" i="1"/>
  <c r="T37" i="1"/>
  <c r="T14" i="1"/>
  <c r="T57" i="1"/>
  <c r="T36" i="1"/>
  <c r="T13" i="1"/>
  <c r="T56" i="1"/>
  <c r="T35" i="1"/>
  <c r="T12" i="1"/>
  <c r="T55" i="1"/>
  <c r="T34" i="1"/>
  <c r="T11" i="1"/>
  <c r="T54" i="1"/>
  <c r="T33" i="1"/>
  <c r="T10" i="1"/>
  <c r="T53" i="1"/>
  <c r="T32" i="1"/>
  <c r="T9" i="1"/>
  <c r="T52" i="1"/>
  <c r="T31" i="1"/>
  <c r="T8" i="1"/>
  <c r="T51" i="1"/>
  <c r="T30" i="1"/>
  <c r="T7" i="1"/>
  <c r="T50" i="1"/>
  <c r="T29" i="1"/>
  <c r="T6" i="1"/>
  <c r="T49" i="1"/>
  <c r="T28" i="1"/>
  <c r="T5" i="1"/>
  <c r="T48" i="1"/>
  <c r="T27" i="1"/>
  <c r="T4" i="1"/>
  <c r="T47" i="1"/>
  <c r="T26" i="1"/>
  <c r="T3" i="1"/>
  <c r="T46" i="1"/>
  <c r="T24" i="1"/>
  <c r="T2" i="1"/>
  <c r="AA38" i="1"/>
  <c r="AA37" i="1"/>
  <c r="AA36" i="1"/>
  <c r="AA35" i="1"/>
  <c r="AA34" i="1"/>
  <c r="AA33" i="1"/>
  <c r="AF32" i="1"/>
  <c r="AF31" i="1"/>
  <c r="AA31" i="1"/>
  <c r="W58" i="1"/>
  <c r="L24" i="1"/>
  <c r="S24" i="1"/>
  <c r="D27" i="1"/>
  <c r="W16" i="1"/>
  <c r="W21" i="1"/>
  <c r="W28" i="1"/>
  <c r="W33" i="1"/>
  <c r="W38" i="1"/>
  <c r="W43" i="1"/>
  <c r="W48" i="1"/>
  <c r="W53" i="1"/>
  <c r="W6" i="1"/>
  <c r="L2" i="1"/>
  <c r="S2" i="1"/>
  <c r="L46" i="1"/>
  <c r="S46" i="1"/>
  <c r="L3" i="1"/>
  <c r="S3" i="1"/>
  <c r="L26" i="1"/>
  <c r="S26" i="1"/>
  <c r="L47" i="1"/>
  <c r="S47" i="1"/>
  <c r="L4" i="1"/>
  <c r="S4" i="1"/>
  <c r="L27" i="1"/>
  <c r="S27" i="1"/>
  <c r="L48" i="1"/>
  <c r="S48" i="1"/>
  <c r="L5" i="1"/>
  <c r="S5" i="1"/>
  <c r="L28" i="1"/>
  <c r="S28" i="1"/>
  <c r="L49" i="1"/>
  <c r="S49" i="1"/>
  <c r="L6" i="1"/>
  <c r="S6" i="1"/>
  <c r="L29" i="1"/>
  <c r="S29" i="1"/>
  <c r="L50" i="1"/>
  <c r="S50" i="1"/>
  <c r="L7" i="1"/>
  <c r="S7" i="1"/>
  <c r="L30" i="1"/>
  <c r="S30" i="1"/>
  <c r="L51" i="1"/>
  <c r="S51" i="1"/>
  <c r="L8" i="1"/>
  <c r="S8" i="1"/>
  <c r="L31" i="1"/>
  <c r="S31" i="1"/>
  <c r="L52" i="1"/>
  <c r="S52" i="1"/>
  <c r="L9" i="1"/>
  <c r="S9" i="1"/>
  <c r="L32" i="1"/>
  <c r="S32" i="1"/>
  <c r="L53" i="1"/>
  <c r="S53" i="1"/>
  <c r="L10" i="1"/>
  <c r="S10" i="1"/>
  <c r="L33" i="1"/>
  <c r="S33" i="1"/>
  <c r="L54" i="1"/>
  <c r="S54" i="1"/>
  <c r="L11" i="1"/>
  <c r="S11" i="1"/>
  <c r="L34" i="1"/>
  <c r="S34" i="1"/>
  <c r="L55" i="1"/>
  <c r="S55" i="1"/>
  <c r="L12" i="1"/>
  <c r="S12" i="1"/>
  <c r="L35" i="1"/>
  <c r="S35" i="1"/>
  <c r="L56" i="1"/>
  <c r="S56" i="1"/>
  <c r="L13" i="1"/>
  <c r="S13" i="1"/>
  <c r="L36" i="1"/>
  <c r="S36" i="1"/>
  <c r="L57" i="1"/>
  <c r="S57" i="1"/>
  <c r="L14" i="1"/>
  <c r="S14" i="1"/>
  <c r="L37" i="1"/>
  <c r="S37" i="1"/>
  <c r="L58" i="1"/>
  <c r="S58" i="1"/>
  <c r="L15" i="1"/>
  <c r="S15" i="1"/>
  <c r="L38" i="1"/>
  <c r="S38" i="1"/>
  <c r="L59" i="1"/>
  <c r="S59" i="1"/>
  <c r="L16" i="1"/>
  <c r="S16" i="1"/>
  <c r="L39" i="1"/>
  <c r="S39" i="1"/>
  <c r="L60" i="1"/>
  <c r="S60" i="1"/>
  <c r="L17" i="1"/>
  <c r="S17" i="1"/>
  <c r="L40" i="1"/>
  <c r="S40" i="1"/>
  <c r="L61" i="1"/>
  <c r="S61" i="1"/>
  <c r="L18" i="1"/>
  <c r="S18" i="1"/>
  <c r="L41" i="1"/>
  <c r="S41" i="1"/>
  <c r="L62" i="1"/>
  <c r="S62" i="1"/>
  <c r="L19" i="1"/>
  <c r="S19" i="1"/>
  <c r="L42" i="1"/>
  <c r="S42" i="1"/>
  <c r="L63" i="1"/>
  <c r="S63" i="1"/>
  <c r="L20" i="1"/>
  <c r="S20" i="1"/>
  <c r="L43" i="1"/>
  <c r="S43" i="1"/>
  <c r="L64" i="1"/>
  <c r="S64" i="1"/>
  <c r="L21" i="1"/>
  <c r="S21" i="1"/>
  <c r="L44" i="1"/>
  <c r="S44" i="1"/>
  <c r="L65" i="1"/>
  <c r="S65" i="1"/>
  <c r="L22" i="1"/>
  <c r="S22" i="1"/>
  <c r="L45" i="1"/>
  <c r="S45" i="1"/>
  <c r="L66" i="1"/>
  <c r="S66" i="1"/>
  <c r="U2" i="1"/>
  <c r="V2" i="1"/>
  <c r="U3" i="1"/>
  <c r="V3" i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4" i="1"/>
  <c r="V24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</calcChain>
</file>

<file path=xl/comments1.xml><?xml version="1.0" encoding="utf-8"?>
<comments xmlns="http://schemas.openxmlformats.org/spreadsheetml/2006/main">
  <authors>
    <author>Not for Resale</author>
    <author>Kevin D. Allen</author>
  </authors>
  <commentList>
    <comment ref="A17" authorId="0">
      <text>
        <r>
          <rPr>
            <sz val="10"/>
            <color indexed="81"/>
            <rFont val="Tahoma"/>
          </rPr>
          <t xml:space="preserve">Measure the clicks needed to move your crosshairs 1" at 10 yards. Do this with your scope locked in place and a ruler set at a measured 10 yards from the end of the bell.
**The </t>
        </r>
        <r>
          <rPr>
            <b/>
            <sz val="10"/>
            <color indexed="81"/>
            <rFont val="Tahoma"/>
            <family val="2"/>
          </rPr>
          <t>Specified Click Value</t>
        </r>
        <r>
          <rPr>
            <sz val="10"/>
            <color indexed="81"/>
            <rFont val="Tahoma"/>
          </rPr>
          <t xml:space="preserve">, if you input it, will override this calculation. Just delete the </t>
        </r>
        <r>
          <rPr>
            <b/>
            <sz val="10"/>
            <color indexed="81"/>
            <rFont val="Tahoma"/>
            <family val="2"/>
          </rPr>
          <t>Specified Click Value</t>
        </r>
        <r>
          <rPr>
            <sz val="10"/>
            <color indexed="81"/>
            <rFont val="Tahoma"/>
          </rPr>
          <t xml:space="preserve"> to get the </t>
        </r>
        <r>
          <rPr>
            <b/>
            <sz val="10"/>
            <color indexed="81"/>
            <rFont val="Tahoma"/>
            <family val="2"/>
          </rPr>
          <t>Calculated Click Value</t>
        </r>
        <r>
          <rPr>
            <sz val="10"/>
            <color indexed="81"/>
            <rFont val="Tahoma"/>
          </rPr>
          <t xml:space="preserve"> to work.</t>
        </r>
      </text>
    </comment>
    <comment ref="C18" authorId="1">
      <text>
        <r>
          <rPr>
            <sz val="9"/>
            <color indexed="81"/>
            <rFont val="Geneva"/>
          </rPr>
          <t>Clicks per subdivision of the Elevation Turret</t>
        </r>
      </text>
    </comment>
    <comment ref="D18" authorId="1">
      <text>
        <r>
          <rPr>
            <sz val="9"/>
            <color indexed="81"/>
            <rFont val="Geneva"/>
          </rPr>
          <t>Clicks per revolution of the elevation turret</t>
        </r>
      </text>
    </comment>
    <comment ref="A34" authorId="1">
      <text>
        <r>
          <rPr>
            <b/>
            <sz val="9"/>
            <color indexed="81"/>
            <rFont val="Geneva"/>
          </rPr>
          <t>Use this section to check your numbers. Shoot at the real world distances and see how many clicks off your zero it takes to hit a crosshair at that distance. Then input them here and check against the calculated clicks for that distance.</t>
        </r>
      </text>
    </comment>
  </commentList>
</comments>
</file>

<file path=xl/sharedStrings.xml><?xml version="1.0" encoding="utf-8"?>
<sst xmlns="http://schemas.openxmlformats.org/spreadsheetml/2006/main" count="105" uniqueCount="77">
  <si>
    <t>Name</t>
  </si>
  <si>
    <t>Rifle</t>
  </si>
  <si>
    <t>First</t>
  </si>
  <si>
    <t>Last</t>
  </si>
  <si>
    <t>Manufacturer</t>
  </si>
  <si>
    <t>Model</t>
  </si>
  <si>
    <t>Caliber</t>
  </si>
  <si>
    <t>Pellet</t>
  </si>
  <si>
    <t>Scope</t>
  </si>
  <si>
    <t>Click Value</t>
  </si>
  <si>
    <t>Mounts</t>
  </si>
  <si>
    <t>Scope Height</t>
  </si>
  <si>
    <t>VRF</t>
  </si>
  <si>
    <t>Zero Distance</t>
  </si>
  <si>
    <t>Traj. Coefficient</t>
  </si>
  <si>
    <t>Gravitational</t>
  </si>
  <si>
    <t>Denominator</t>
  </si>
  <si>
    <t>X</t>
  </si>
  <si>
    <t>T1</t>
  </si>
  <si>
    <t>A</t>
  </si>
  <si>
    <t>B1</t>
  </si>
  <si>
    <t>Drop</t>
  </si>
  <si>
    <t>Dist</t>
  </si>
  <si>
    <t>Dial</t>
  </si>
  <si>
    <t>FPE</t>
  </si>
  <si>
    <t>MOA Factor</t>
  </si>
  <si>
    <t>Time</t>
  </si>
  <si>
    <t>MoA</t>
  </si>
  <si>
    <t>Drift</t>
  </si>
  <si>
    <t>D MoA</t>
  </si>
  <si>
    <t>Traj. Coef.</t>
  </si>
  <si>
    <t>X-Wind Speed</t>
  </si>
  <si>
    <t>Turret Subdivisions</t>
  </si>
  <si>
    <t>Vel. Retention Factor</t>
  </si>
  <si>
    <t>yards</t>
  </si>
  <si>
    <t>clicks</t>
  </si>
  <si>
    <t>grains</t>
  </si>
  <si>
    <t>Weight</t>
  </si>
  <si>
    <t>inch(es)</t>
  </si>
  <si>
    <t>Notes</t>
  </si>
  <si>
    <t>Muzzle Velocity</t>
  </si>
  <si>
    <t>mph crosswind</t>
  </si>
  <si>
    <t>inches</t>
  </si>
  <si>
    <t>Hunter Hold Minimum</t>
  </si>
  <si>
    <t>HHold</t>
  </si>
  <si>
    <t>D</t>
  </si>
  <si>
    <t>Calc. Click Value</t>
  </si>
  <si>
    <t>Clicks</t>
  </si>
  <si>
    <t>Muzzle Values</t>
  </si>
  <si>
    <t>Natural Primary Zero</t>
  </si>
  <si>
    <t>V</t>
  </si>
  <si>
    <t>Hunter Hold</t>
  </si>
  <si>
    <t>SHOOTER</t>
  </si>
  <si>
    <t>PELLET</t>
  </si>
  <si>
    <t>OPTICS</t>
  </si>
  <si>
    <t>CONSTANTS</t>
  </si>
  <si>
    <t>REAL WORLD</t>
  </si>
  <si>
    <t>VARIABLES</t>
  </si>
  <si>
    <t>MV</t>
  </si>
  <si>
    <t>Avg</t>
  </si>
  <si>
    <t>Near</t>
  </si>
  <si>
    <t>Far</t>
  </si>
  <si>
    <t>PELLET DATA</t>
  </si>
  <si>
    <t>Premier 10.5</t>
  </si>
  <si>
    <t>JSB I 10.2</t>
  </si>
  <si>
    <t>JSB II 10.2</t>
  </si>
  <si>
    <t>JSB</t>
  </si>
  <si>
    <t>Exact</t>
  </si>
  <si>
    <t>Shooter</t>
  </si>
  <si>
    <t>Air</t>
  </si>
  <si>
    <t>Airgun</t>
  </si>
  <si>
    <t>AIRGUN</t>
  </si>
  <si>
    <t>BKL Double Strap 30mm</t>
  </si>
  <si>
    <t>Specified Click Value</t>
  </si>
  <si>
    <t>Lot or Die #</t>
  </si>
  <si>
    <r>
      <rPr>
        <sz val="9"/>
        <rFont val="Arial Black"/>
      </rPr>
      <t>Cross Wind Speed</t>
    </r>
  </si>
  <si>
    <t>VRF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</si>
</sst>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4" x14ac:knownFonts="1">
    <font>
      <sz val="9"/>
      <name val="Geneva"/>
    </font>
    <font>
      <sz val="9"/>
      <name val="Arial"/>
      <family val="2"/>
    </font>
    <font>
      <sz val="9"/>
      <name val="Arial Black"/>
    </font>
    <font>
      <sz val="9"/>
      <color indexed="9"/>
      <name val="Arial"/>
    </font>
    <font>
      <sz val="9"/>
      <color indexed="8"/>
      <name val="Arial"/>
      <family val="2"/>
    </font>
    <font>
      <sz val="9"/>
      <name val="Arial Black"/>
    </font>
    <font>
      <sz val="9"/>
      <name val="Arial"/>
      <family val="2"/>
    </font>
    <font>
      <sz val="8"/>
      <name val="Arial"/>
    </font>
    <font>
      <b/>
      <sz val="8"/>
      <name val="Arial"/>
    </font>
    <font>
      <sz val="10"/>
      <color indexed="81"/>
      <name val="Tahoma"/>
    </font>
    <font>
      <b/>
      <sz val="10"/>
      <color indexed="81"/>
      <name val="Tahoma"/>
      <family val="2"/>
    </font>
    <font>
      <b/>
      <sz val="8"/>
      <color indexed="9"/>
      <name val="Arial"/>
    </font>
    <font>
      <b/>
      <sz val="9"/>
      <color indexed="9"/>
      <name val="Arial"/>
    </font>
    <font>
      <b/>
      <sz val="9"/>
      <color indexed="16"/>
      <name val="Arial"/>
      <family val="2"/>
    </font>
    <font>
      <sz val="8"/>
      <name val="Geneva"/>
    </font>
    <font>
      <sz val="8"/>
      <name val="Arial"/>
    </font>
    <font>
      <sz val="9"/>
      <color indexed="81"/>
      <name val="Geneva"/>
    </font>
    <font>
      <sz val="9"/>
      <color indexed="9"/>
      <name val="Arial Black"/>
    </font>
    <font>
      <sz val="8"/>
      <color indexed="8"/>
      <name val="Arial"/>
    </font>
    <font>
      <sz val="8"/>
      <color indexed="9"/>
      <name val="Arial"/>
    </font>
    <font>
      <b/>
      <sz val="9"/>
      <color indexed="81"/>
      <name val="Geneva"/>
    </font>
    <font>
      <b/>
      <sz val="8"/>
      <color theme="0"/>
      <name val="Arial"/>
    </font>
    <font>
      <u/>
      <sz val="9"/>
      <color theme="10"/>
      <name val="Geneva"/>
    </font>
    <font>
      <u/>
      <sz val="9"/>
      <color theme="11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2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9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4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42"/>
      </right>
      <top style="thin">
        <color auto="1"/>
      </top>
      <bottom style="thin">
        <color auto="1"/>
      </bottom>
      <diagonal/>
    </border>
    <border>
      <left/>
      <right style="thin">
        <color indexed="4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2" fontId="4" fillId="0" borderId="1" xfId="0" applyNumberFormat="1" applyFont="1" applyFill="1" applyBorder="1" applyProtection="1">
      <protection hidden="1"/>
    </xf>
    <xf numFmtId="0" fontId="1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protection hidden="1"/>
    </xf>
    <xf numFmtId="0" fontId="12" fillId="2" borderId="2" xfId="0" applyFont="1" applyFill="1" applyBorder="1" applyProtection="1">
      <protection hidden="1"/>
    </xf>
    <xf numFmtId="0" fontId="12" fillId="2" borderId="3" xfId="0" applyFont="1" applyFill="1" applyBorder="1" applyProtection="1">
      <protection hidden="1"/>
    </xf>
    <xf numFmtId="0" fontId="12" fillId="2" borderId="4" xfId="0" applyFont="1" applyFill="1" applyBorder="1" applyProtection="1">
      <protection hidden="1"/>
    </xf>
    <xf numFmtId="0" fontId="3" fillId="0" borderId="5" xfId="0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2" fontId="4" fillId="3" borderId="1" xfId="0" applyNumberFormat="1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2" fontId="7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Protection="1">
      <protection hidden="1"/>
    </xf>
    <xf numFmtId="0" fontId="17" fillId="4" borderId="0" xfId="0" applyFont="1" applyFill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1" fillId="2" borderId="4" xfId="0" applyFont="1" applyFill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2" fontId="15" fillId="0" borderId="1" xfId="0" applyNumberFormat="1" applyFont="1" applyBorder="1" applyAlignment="1" applyProtection="1">
      <alignment vertical="center"/>
      <protection hidden="1"/>
    </xf>
    <xf numFmtId="0" fontId="15" fillId="0" borderId="1" xfId="0" applyFont="1" applyBorder="1" applyAlignment="1" applyProtection="1">
      <alignment vertical="center"/>
      <protection hidden="1"/>
    </xf>
    <xf numFmtId="1" fontId="18" fillId="0" borderId="1" xfId="0" applyNumberFormat="1" applyFont="1" applyFill="1" applyBorder="1" applyAlignment="1" applyProtection="1">
      <alignment vertical="center"/>
      <protection hidden="1"/>
    </xf>
    <xf numFmtId="0" fontId="18" fillId="0" borderId="1" xfId="0" applyFont="1" applyFill="1" applyBorder="1" applyAlignment="1" applyProtection="1">
      <alignment vertical="center"/>
      <protection hidden="1"/>
    </xf>
    <xf numFmtId="2" fontId="18" fillId="0" borderId="1" xfId="0" applyNumberFormat="1" applyFont="1" applyFill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right" vertical="center"/>
      <protection hidden="1"/>
    </xf>
    <xf numFmtId="164" fontId="18" fillId="0" borderId="1" xfId="0" applyNumberFormat="1" applyFont="1" applyFill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vertical="center"/>
      <protection hidden="1"/>
    </xf>
    <xf numFmtId="2" fontId="7" fillId="0" borderId="1" xfId="0" applyNumberFormat="1" applyFont="1" applyBorder="1" applyAlignment="1" applyProtection="1">
      <alignment vertical="center"/>
      <protection hidden="1"/>
    </xf>
    <xf numFmtId="0" fontId="11" fillId="2" borderId="2" xfId="0" applyFont="1" applyFill="1" applyBorder="1" applyAlignment="1" applyProtection="1">
      <alignment vertical="center"/>
      <protection hidden="1"/>
    </xf>
    <xf numFmtId="1" fontId="18" fillId="3" borderId="1" xfId="0" applyNumberFormat="1" applyFont="1" applyFill="1" applyBorder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/>
      <protection hidden="1"/>
    </xf>
    <xf numFmtId="2" fontId="18" fillId="3" borderId="1" xfId="0" applyNumberFormat="1" applyFont="1" applyFill="1" applyBorder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horizontal="right" vertical="center"/>
      <protection hidden="1"/>
    </xf>
    <xf numFmtId="164" fontId="18" fillId="3" borderId="1" xfId="0" applyNumberFormat="1" applyFont="1" applyFill="1" applyBorder="1" applyAlignment="1" applyProtection="1">
      <alignment horizontal="right" vertical="center"/>
      <protection hidden="1"/>
    </xf>
    <xf numFmtId="164" fontId="7" fillId="3" borderId="1" xfId="0" applyNumberFormat="1" applyFont="1" applyFill="1" applyBorder="1" applyAlignment="1" applyProtection="1">
      <alignment vertical="center"/>
      <protection hidden="1"/>
    </xf>
    <xf numFmtId="2" fontId="7" fillId="3" borderId="1" xfId="0" applyNumberFormat="1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1" fillId="2" borderId="3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164" fontId="8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vertical="center"/>
      <protection hidden="1"/>
    </xf>
    <xf numFmtId="2" fontId="7" fillId="0" borderId="6" xfId="0" applyNumberFormat="1" applyFont="1" applyFill="1" applyBorder="1" applyAlignment="1" applyProtection="1">
      <alignment horizont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vertical="center"/>
      <protection hidden="1"/>
    </xf>
    <xf numFmtId="0" fontId="8" fillId="0" borderId="5" xfId="0" applyFont="1" applyFill="1" applyBorder="1" applyAlignment="1" applyProtection="1">
      <protection hidden="1"/>
    </xf>
    <xf numFmtId="0" fontId="1" fillId="0" borderId="5" xfId="0" applyFont="1" applyBorder="1"/>
    <xf numFmtId="0" fontId="11" fillId="2" borderId="11" xfId="0" applyFont="1" applyFill="1" applyBorder="1" applyAlignment="1" applyProtection="1">
      <alignment vertical="center"/>
      <protection hidden="1"/>
    </xf>
    <xf numFmtId="2" fontId="15" fillId="0" borderId="12" xfId="0" applyNumberFormat="1" applyFont="1" applyBorder="1" applyAlignment="1" applyProtection="1">
      <alignment vertical="center"/>
      <protection hidden="1"/>
    </xf>
    <xf numFmtId="0" fontId="15" fillId="0" borderId="12" xfId="0" applyFont="1" applyBorder="1" applyAlignment="1" applyProtection="1">
      <alignment vertical="center"/>
      <protection hidden="1"/>
    </xf>
    <xf numFmtId="1" fontId="18" fillId="0" borderId="12" xfId="0" applyNumberFormat="1" applyFont="1" applyFill="1" applyBorder="1" applyAlignment="1" applyProtection="1">
      <alignment vertical="center"/>
      <protection hidden="1"/>
    </xf>
    <xf numFmtId="0" fontId="18" fillId="0" borderId="12" xfId="0" applyFont="1" applyFill="1" applyBorder="1" applyAlignment="1" applyProtection="1">
      <alignment vertical="center"/>
      <protection hidden="1"/>
    </xf>
    <xf numFmtId="2" fontId="18" fillId="0" borderId="12" xfId="0" applyNumberFormat="1" applyFont="1" applyFill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right" vertical="center"/>
      <protection hidden="1"/>
    </xf>
    <xf numFmtId="164" fontId="7" fillId="0" borderId="12" xfId="0" applyNumberFormat="1" applyFont="1" applyBorder="1" applyAlignment="1" applyProtection="1">
      <alignment vertical="center"/>
      <protection hidden="1"/>
    </xf>
    <xf numFmtId="2" fontId="7" fillId="0" borderId="12" xfId="0" applyNumberFormat="1" applyFont="1" applyBorder="1" applyAlignment="1" applyProtection="1">
      <alignment vertical="center"/>
      <protection hidden="1"/>
    </xf>
    <xf numFmtId="0" fontId="11" fillId="2" borderId="13" xfId="0" applyFont="1" applyFill="1" applyBorder="1" applyAlignment="1" applyProtection="1">
      <alignment vertical="center"/>
      <protection hidden="1"/>
    </xf>
    <xf numFmtId="2" fontId="15" fillId="0" borderId="14" xfId="0" applyNumberFormat="1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vertical="center"/>
      <protection hidden="1"/>
    </xf>
    <xf numFmtId="1" fontId="18" fillId="0" borderId="14" xfId="0" applyNumberFormat="1" applyFont="1" applyFill="1" applyBorder="1" applyAlignment="1" applyProtection="1">
      <alignment vertical="center"/>
      <protection hidden="1"/>
    </xf>
    <xf numFmtId="0" fontId="18" fillId="0" borderId="14" xfId="0" applyFont="1" applyFill="1" applyBorder="1" applyAlignment="1" applyProtection="1">
      <alignment vertical="center"/>
      <protection hidden="1"/>
    </xf>
    <xf numFmtId="2" fontId="18" fillId="0" borderId="14" xfId="0" applyNumberFormat="1" applyFont="1" applyFill="1" applyBorder="1" applyAlignment="1" applyProtection="1">
      <alignment vertical="center"/>
      <protection hidden="1"/>
    </xf>
    <xf numFmtId="0" fontId="7" fillId="0" borderId="14" xfId="0" applyFont="1" applyBorder="1" applyAlignment="1" applyProtection="1">
      <alignment horizontal="right" vertical="center"/>
      <protection hidden="1"/>
    </xf>
    <xf numFmtId="164" fontId="7" fillId="0" borderId="14" xfId="0" applyNumberFormat="1" applyFont="1" applyBorder="1" applyAlignment="1" applyProtection="1">
      <alignment vertical="center"/>
      <protection hidden="1"/>
    </xf>
    <xf numFmtId="2" fontId="7" fillId="0" borderId="14" xfId="0" applyNumberFormat="1" applyFont="1" applyBorder="1" applyAlignment="1" applyProtection="1">
      <alignment vertical="center"/>
      <protection hidden="1"/>
    </xf>
    <xf numFmtId="0" fontId="15" fillId="0" borderId="10" xfId="0" applyFont="1" applyBorder="1" applyAlignment="1" applyProtection="1">
      <alignment vertical="center"/>
      <protection hidden="1"/>
    </xf>
    <xf numFmtId="2" fontId="4" fillId="0" borderId="15" xfId="0" applyNumberFormat="1" applyFont="1" applyFill="1" applyBorder="1" applyProtection="1">
      <protection hidden="1"/>
    </xf>
    <xf numFmtId="0" fontId="11" fillId="2" borderId="16" xfId="0" applyFont="1" applyFill="1" applyBorder="1" applyAlignment="1" applyProtection="1">
      <alignment vertical="center"/>
      <protection hidden="1"/>
    </xf>
    <xf numFmtId="2" fontId="15" fillId="0" borderId="10" xfId="0" applyNumberFormat="1" applyFont="1" applyBorder="1" applyAlignment="1" applyProtection="1">
      <alignment vertical="center"/>
      <protection hidden="1"/>
    </xf>
    <xf numFmtId="1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10" xfId="0" applyFont="1" applyFill="1" applyBorder="1" applyAlignment="1" applyProtection="1">
      <alignment vertical="center"/>
      <protection hidden="1"/>
    </xf>
    <xf numFmtId="2" fontId="18" fillId="0" borderId="10" xfId="0" applyNumberFormat="1" applyFont="1" applyFill="1" applyBorder="1" applyAlignment="1" applyProtection="1">
      <alignment vertical="center"/>
      <protection hidden="1"/>
    </xf>
    <xf numFmtId="0" fontId="7" fillId="0" borderId="10" xfId="0" applyFont="1" applyBorder="1" applyAlignment="1" applyProtection="1">
      <alignment horizontal="right" vertical="center"/>
      <protection hidden="1"/>
    </xf>
    <xf numFmtId="164" fontId="18" fillId="0" borderId="10" xfId="0" applyNumberFormat="1" applyFont="1" applyFill="1" applyBorder="1" applyAlignment="1" applyProtection="1">
      <alignment horizontal="right" vertical="center"/>
      <protection hidden="1"/>
    </xf>
    <xf numFmtId="164" fontId="7" fillId="0" borderId="10" xfId="0" applyNumberFormat="1" applyFont="1" applyBorder="1" applyAlignment="1" applyProtection="1">
      <alignment vertical="center"/>
      <protection hidden="1"/>
    </xf>
    <xf numFmtId="2" fontId="7" fillId="0" borderId="15" xfId="0" applyNumberFormat="1" applyFont="1" applyBorder="1" applyAlignment="1" applyProtection="1">
      <alignment vertic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1" fillId="0" borderId="1" xfId="0" applyFont="1" applyBorder="1"/>
    <xf numFmtId="1" fontId="3" fillId="4" borderId="0" xfId="0" applyNumberFormat="1" applyFont="1" applyFill="1"/>
    <xf numFmtId="0" fontId="1" fillId="0" borderId="0" xfId="0" applyFont="1"/>
    <xf numFmtId="0" fontId="8" fillId="3" borderId="1" xfId="0" applyFont="1" applyFill="1" applyBorder="1" applyAlignment="1" applyProtection="1">
      <alignment vertical="center"/>
      <protection hidden="1"/>
    </xf>
    <xf numFmtId="0" fontId="1" fillId="5" borderId="17" xfId="0" applyFont="1" applyFill="1" applyBorder="1" applyAlignment="1" applyProtection="1">
      <alignment horizontal="left"/>
      <protection locked="0"/>
    </xf>
    <xf numFmtId="0" fontId="1" fillId="5" borderId="18" xfId="0" applyFont="1" applyFill="1" applyBorder="1" applyAlignment="1" applyProtection="1">
      <alignment horizontal="left"/>
      <protection locked="0"/>
    </xf>
    <xf numFmtId="0" fontId="1" fillId="5" borderId="19" xfId="0" applyFont="1" applyFill="1" applyBorder="1" applyAlignment="1" applyProtection="1">
      <alignment horizontal="left"/>
      <protection locked="0"/>
    </xf>
    <xf numFmtId="0" fontId="1" fillId="5" borderId="20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Alignment="1" applyProtection="1">
      <alignment horizontal="left"/>
      <protection hidden="1"/>
    </xf>
    <xf numFmtId="0" fontId="1" fillId="5" borderId="14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hidden="1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165" fontId="13" fillId="0" borderId="1" xfId="0" applyNumberFormat="1" applyFont="1" applyFill="1" applyBorder="1" applyAlignment="1" applyProtection="1">
      <alignment horizontal="right"/>
    </xf>
    <xf numFmtId="0" fontId="3" fillId="4" borderId="21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Protection="1"/>
    <xf numFmtId="0" fontId="3" fillId="4" borderId="15" xfId="0" applyFont="1" applyFill="1" applyBorder="1" applyAlignment="1" applyProtection="1">
      <alignment horizontal="right"/>
    </xf>
    <xf numFmtId="0" fontId="1" fillId="5" borderId="17" xfId="0" applyFont="1" applyFill="1" applyBorder="1" applyAlignment="1" applyProtection="1">
      <protection locked="0"/>
    </xf>
    <xf numFmtId="0" fontId="1" fillId="6" borderId="22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hidden="1"/>
    </xf>
    <xf numFmtId="0" fontId="19" fillId="4" borderId="24" xfId="0" applyFont="1" applyFill="1" applyBorder="1" applyAlignment="1" applyProtection="1">
      <alignment horizontal="center"/>
      <protection hidden="1"/>
    </xf>
    <xf numFmtId="0" fontId="19" fillId="4" borderId="25" xfId="0" applyFont="1" applyFill="1" applyBorder="1" applyAlignment="1" applyProtection="1">
      <alignment horizontal="center"/>
      <protection hidden="1"/>
    </xf>
    <xf numFmtId="0" fontId="19" fillId="4" borderId="26" xfId="0" applyFont="1" applyFill="1" applyBorder="1" applyAlignment="1" applyProtection="1">
      <alignment horizontal="center"/>
      <protection hidden="1"/>
    </xf>
    <xf numFmtId="0" fontId="3" fillId="4" borderId="27" xfId="0" applyFont="1" applyFill="1" applyBorder="1" applyAlignment="1">
      <alignment horizontal="center"/>
    </xf>
    <xf numFmtId="0" fontId="3" fillId="7" borderId="25" xfId="0" applyFont="1" applyFill="1" applyBorder="1" applyAlignment="1" applyProtection="1">
      <alignment horizontal="center"/>
    </xf>
    <xf numFmtId="0" fontId="11" fillId="4" borderId="28" xfId="0" applyFont="1" applyFill="1" applyBorder="1" applyAlignment="1" applyProtection="1">
      <alignment horizontal="center"/>
      <protection hidden="1"/>
    </xf>
    <xf numFmtId="0" fontId="11" fillId="4" borderId="29" xfId="0" applyFont="1" applyFill="1" applyBorder="1" applyAlignment="1" applyProtection="1">
      <alignment horizontal="center"/>
      <protection hidden="1"/>
    </xf>
    <xf numFmtId="0" fontId="11" fillId="4" borderId="30" xfId="0" applyFont="1" applyFill="1" applyBorder="1" applyAlignment="1" applyProtection="1">
      <alignment horizontal="center"/>
      <protection hidden="1"/>
    </xf>
    <xf numFmtId="0" fontId="11" fillId="4" borderId="31" xfId="0" applyFont="1" applyFill="1" applyBorder="1" applyAlignment="1" applyProtection="1">
      <alignment horizontal="center"/>
      <protection hidden="1"/>
    </xf>
    <xf numFmtId="1" fontId="8" fillId="3" borderId="4" xfId="0" applyNumberFormat="1" applyFont="1" applyFill="1" applyBorder="1" applyAlignment="1" applyProtection="1">
      <alignment vertical="center"/>
      <protection hidden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7" fillId="4" borderId="0" xfId="0" applyFont="1" applyFill="1" applyAlignment="1">
      <alignment horizontal="center"/>
    </xf>
    <xf numFmtId="165" fontId="1" fillId="5" borderId="16" xfId="0" applyNumberFormat="1" applyFont="1" applyFill="1" applyBorder="1" applyAlignment="1">
      <alignment horizontal="center"/>
    </xf>
    <xf numFmtId="165" fontId="1" fillId="5" borderId="15" xfId="0" applyNumberFormat="1" applyFont="1" applyFill="1" applyBorder="1" applyAlignment="1">
      <alignment horizontal="center"/>
    </xf>
    <xf numFmtId="14" fontId="1" fillId="0" borderId="33" xfId="0" applyNumberFormat="1" applyFont="1" applyBorder="1" applyAlignment="1">
      <alignment horizontal="left" vertical="top" wrapText="1"/>
    </xf>
    <xf numFmtId="14" fontId="1" fillId="0" borderId="35" xfId="0" applyNumberFormat="1" applyFont="1" applyBorder="1" applyAlignment="1">
      <alignment horizontal="left" vertical="top" wrapText="1"/>
    </xf>
    <xf numFmtId="14" fontId="1" fillId="0" borderId="29" xfId="0" applyNumberFormat="1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6" xfId="0" applyNumberFormat="1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" fontId="1" fillId="5" borderId="18" xfId="0" applyNumberFormat="1" applyFont="1" applyFill="1" applyBorder="1" applyAlignment="1" applyProtection="1">
      <alignment horizontal="left"/>
      <protection locked="0"/>
    </xf>
    <xf numFmtId="0" fontId="1" fillId="5" borderId="32" xfId="0" applyFont="1" applyFill="1" applyBorder="1" applyAlignment="1" applyProtection="1">
      <alignment horizontal="left"/>
      <protection locked="0"/>
    </xf>
    <xf numFmtId="0" fontId="1" fillId="5" borderId="7" xfId="0" applyFont="1" applyFill="1" applyBorder="1" applyAlignment="1" applyProtection="1">
      <alignment horizontal="left"/>
      <protection locked="0"/>
    </xf>
    <xf numFmtId="0" fontId="1" fillId="5" borderId="15" xfId="0" applyFont="1" applyFill="1" applyBorder="1" applyAlignment="1" applyProtection="1">
      <alignment horizontal="left"/>
      <protection locked="0"/>
    </xf>
    <xf numFmtId="0" fontId="1" fillId="5" borderId="16" xfId="0" applyFont="1" applyFill="1" applyBorder="1" applyAlignment="1" applyProtection="1">
      <alignment horizontal="left"/>
      <protection locked="0"/>
    </xf>
    <xf numFmtId="0" fontId="17" fillId="4" borderId="8" xfId="0" applyFont="1" applyFill="1" applyBorder="1" applyAlignment="1" applyProtection="1">
      <alignment horizontal="center"/>
      <protection hidden="1"/>
    </xf>
    <xf numFmtId="0" fontId="1" fillId="5" borderId="18" xfId="0" applyNumberFormat="1" applyFont="1" applyFill="1" applyBorder="1" applyAlignment="1" applyProtection="1">
      <alignment horizontal="left"/>
      <protection locked="0"/>
    </xf>
    <xf numFmtId="0" fontId="1" fillId="5" borderId="32" xfId="0" applyNumberFormat="1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33" xfId="0" applyFont="1" applyFill="1" applyBorder="1" applyAlignment="1" applyProtection="1">
      <alignment horizontal="left"/>
      <protection locked="0"/>
    </xf>
    <xf numFmtId="0" fontId="1" fillId="5" borderId="34" xfId="0" applyFont="1" applyFill="1" applyBorder="1" applyAlignment="1" applyProtection="1">
      <alignment horizontal="left"/>
      <protection locked="0"/>
    </xf>
    <xf numFmtId="0" fontId="1" fillId="5" borderId="29" xfId="0" applyFont="1" applyFill="1" applyBorder="1" applyAlignment="1" applyProtection="1">
      <alignment horizontal="left"/>
      <protection locked="0"/>
    </xf>
    <xf numFmtId="164" fontId="21" fillId="8" borderId="15" xfId="0" applyNumberFormat="1" applyFont="1" applyFill="1" applyBorder="1" applyAlignment="1" applyProtection="1">
      <alignment horizontal="center" vertical="center"/>
      <protection hidden="1"/>
    </xf>
    <xf numFmtId="0" fontId="21" fillId="8" borderId="36" xfId="0" applyFont="1" applyFill="1" applyBorder="1" applyAlignment="1" applyProtection="1">
      <alignment horizontal="center" vertical="center"/>
      <protection hidden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Trajectory</a:t>
            </a:r>
          </a:p>
        </c:rich>
      </c:tx>
      <c:layout>
        <c:manualLayout>
          <c:xMode val="edge"/>
          <c:yMode val="edge"/>
          <c:x val="0.463058362679539"/>
          <c:y val="0.02603369065849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93467591914992"/>
          <c:y val="0.160796414832168"/>
          <c:w val="0.912563149940308"/>
          <c:h val="0.732006536093108"/>
        </c:manualLayout>
      </c:layout>
      <c:lineChart>
        <c:grouping val="standard"/>
        <c:varyColors val="0"/>
        <c:ser>
          <c:idx val="1"/>
          <c:order val="0"/>
          <c:tx>
            <c:v>Calculated Drop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('Data Sheet'!$F$2,'Data Sheet'!$F$4,'Data Sheet'!$F$6,'Data Sheet'!$F$8,'Data Sheet'!$F$10,'Data Sheet'!$F$12,'Data Sheet'!$F$14,'Data Sheet'!$F$16:$F$61)</c:f>
              <c:numCache>
                <c:formatCode>General</c:formatCode>
                <c:ptCount val="52"/>
                <c:pt idx="0">
                  <c:v>8.0</c:v>
                </c:pt>
                <c:pt idx="1">
                  <c:v>9.0</c:v>
                </c:pt>
                <c:pt idx="2">
                  <c:v>10.0</c:v>
                </c:pt>
                <c:pt idx="3">
                  <c:v>11.0</c:v>
                </c:pt>
                <c:pt idx="4">
                  <c:v>12.0</c:v>
                </c:pt>
                <c:pt idx="5">
                  <c:v>13.0</c:v>
                </c:pt>
                <c:pt idx="6">
                  <c:v>14.0</c:v>
                </c:pt>
                <c:pt idx="7">
                  <c:v>15.0</c:v>
                </c:pt>
                <c:pt idx="8">
                  <c:v>16.0</c:v>
                </c:pt>
                <c:pt idx="9">
                  <c:v>17.0</c:v>
                </c:pt>
                <c:pt idx="10">
                  <c:v>18.0</c:v>
                </c:pt>
                <c:pt idx="11">
                  <c:v>19.0</c:v>
                </c:pt>
                <c:pt idx="12">
                  <c:v>20.0</c:v>
                </c:pt>
                <c:pt idx="13">
                  <c:v>21.0</c:v>
                </c:pt>
                <c:pt idx="15">
                  <c:v>22.0</c:v>
                </c:pt>
                <c:pt idx="16">
                  <c:v>23.0</c:v>
                </c:pt>
                <c:pt idx="17">
                  <c:v>24.0</c:v>
                </c:pt>
                <c:pt idx="18">
                  <c:v>25.0</c:v>
                </c:pt>
                <c:pt idx="19">
                  <c:v>26.0</c:v>
                </c:pt>
                <c:pt idx="20">
                  <c:v>27.0</c:v>
                </c:pt>
                <c:pt idx="21">
                  <c:v>28.0</c:v>
                </c:pt>
                <c:pt idx="22">
                  <c:v>29.0</c:v>
                </c:pt>
                <c:pt idx="23">
                  <c:v>30.0</c:v>
                </c:pt>
                <c:pt idx="24">
                  <c:v>31.0</c:v>
                </c:pt>
                <c:pt idx="25">
                  <c:v>32.0</c:v>
                </c:pt>
                <c:pt idx="26">
                  <c:v>33.0</c:v>
                </c:pt>
                <c:pt idx="27">
                  <c:v>34.0</c:v>
                </c:pt>
                <c:pt idx="28">
                  <c:v>35.0</c:v>
                </c:pt>
                <c:pt idx="29">
                  <c:v>36.0</c:v>
                </c:pt>
                <c:pt idx="30">
                  <c:v>37.0</c:v>
                </c:pt>
                <c:pt idx="31">
                  <c:v>38.0</c:v>
                </c:pt>
                <c:pt idx="32">
                  <c:v>39.0</c:v>
                </c:pt>
                <c:pt idx="33">
                  <c:v>40.0</c:v>
                </c:pt>
                <c:pt idx="34">
                  <c:v>41.0</c:v>
                </c:pt>
                <c:pt idx="35">
                  <c:v>42.0</c:v>
                </c:pt>
                <c:pt idx="36">
                  <c:v>43.0</c:v>
                </c:pt>
                <c:pt idx="37">
                  <c:v>44.0</c:v>
                </c:pt>
                <c:pt idx="38">
                  <c:v>45.0</c:v>
                </c:pt>
                <c:pt idx="39">
                  <c:v>46.0</c:v>
                </c:pt>
                <c:pt idx="40">
                  <c:v>47.0</c:v>
                </c:pt>
                <c:pt idx="41">
                  <c:v>48.0</c:v>
                </c:pt>
                <c:pt idx="42">
                  <c:v>49.0</c:v>
                </c:pt>
                <c:pt idx="43">
                  <c:v>50.0</c:v>
                </c:pt>
                <c:pt idx="44">
                  <c:v>51.0</c:v>
                </c:pt>
                <c:pt idx="45">
                  <c:v>52.0</c:v>
                </c:pt>
                <c:pt idx="46">
                  <c:v>53.0</c:v>
                </c:pt>
                <c:pt idx="47">
                  <c:v>54.0</c:v>
                </c:pt>
                <c:pt idx="48">
                  <c:v>55.0</c:v>
                </c:pt>
                <c:pt idx="49">
                  <c:v>56.0</c:v>
                </c:pt>
                <c:pt idx="50">
                  <c:v>57.0</c:v>
                </c:pt>
                <c:pt idx="51">
                  <c:v>58.0</c:v>
                </c:pt>
              </c:numCache>
            </c:numRef>
          </c:cat>
          <c:val>
            <c:numRef>
              <c:f>('Data Sheet'!$N$2,'Data Sheet'!$N$4,'Data Sheet'!$N$6,'Data Sheet'!$N$8,'Data Sheet'!$N$10,'Data Sheet'!$N$12,'Data Sheet'!$N$14,'Data Sheet'!$N$16:$N$22,'Data Sheet'!$N$24:$N$61)</c:f>
              <c:numCache>
                <c:formatCode>0.00</c:formatCode>
                <c:ptCount val="51"/>
                <c:pt idx="0">
                  <c:v>-0.896630929828708</c:v>
                </c:pt>
                <c:pt idx="1">
                  <c:v>-0.787342648388288</c:v>
                </c:pt>
                <c:pt idx="2">
                  <c:v>-0.684688853284923</c:v>
                </c:pt>
                <c:pt idx="3">
                  <c:v>-0.588753282476745</c:v>
                </c:pt>
                <c:pt idx="4">
                  <c:v>-0.499620509814733</c:v>
                </c:pt>
                <c:pt idx="5">
                  <c:v>-0.41737595273789</c:v>
                </c:pt>
                <c:pt idx="6">
                  <c:v>-0.342105880036812</c:v>
                </c:pt>
                <c:pt idx="7">
                  <c:v>-0.273897419686295</c:v>
                </c:pt>
                <c:pt idx="8">
                  <c:v>-0.212838566747607</c:v>
                </c:pt>
                <c:pt idx="9">
                  <c:v>-0.15901819134096</c:v>
                </c:pt>
                <c:pt idx="10">
                  <c:v>-0.112526046688875</c:v>
                </c:pt>
                <c:pt idx="11">
                  <c:v>-0.0734527772309985</c:v>
                </c:pt>
                <c:pt idx="12">
                  <c:v>-0.0418899268110673</c:v>
                </c:pt>
                <c:pt idx="13">
                  <c:v>-0.0179299469365275</c:v>
                </c:pt>
                <c:pt idx="14">
                  <c:v>-0.00166620511162097</c:v>
                </c:pt>
                <c:pt idx="15">
                  <c:v>0.0068070067555972</c:v>
                </c:pt>
                <c:pt idx="16">
                  <c:v>0.00739446387152243</c:v>
                </c:pt>
                <c:pt idx="17">
                  <c:v>0.0</c:v>
                </c:pt>
                <c:pt idx="18">
                  <c:v>-0.0154735011706939</c:v>
                </c:pt>
                <c:pt idx="19">
                  <c:v>-0.0391241147374672</c:v>
                </c:pt>
                <c:pt idx="20">
                  <c:v>-0.0710508833693404</c:v>
                </c:pt>
                <c:pt idx="21">
                  <c:v>-0.111353826172385</c:v>
                </c:pt>
                <c:pt idx="22">
                  <c:v>-0.160133947633295</c:v>
                </c:pt>
                <c:pt idx="23">
                  <c:v>-0.217493246642321</c:v>
                </c:pt>
                <c:pt idx="24">
                  <c:v>-0.283534725596239</c:v>
                </c:pt>
                <c:pt idx="25">
                  <c:v>-0.358362399582073</c:v>
                </c:pt>
                <c:pt idx="26">
                  <c:v>-0.44208130564229</c:v>
                </c:pt>
                <c:pt idx="27">
                  <c:v>-0.534797512122092</c:v>
                </c:pt>
                <c:pt idx="28">
                  <c:v>-0.636618128099648</c:v>
                </c:pt>
                <c:pt idx="29">
                  <c:v>-0.747651312899914</c:v>
                </c:pt>
                <c:pt idx="30">
                  <c:v>-0.868006285692815</c:v>
                </c:pt>
                <c:pt idx="31">
                  <c:v>-0.997793335176389</c:v>
                </c:pt>
                <c:pt idx="32">
                  <c:v>-1.137123829345903</c:v>
                </c:pt>
                <c:pt idx="33">
                  <c:v>-1.286110225349407</c:v>
                </c:pt>
                <c:pt idx="34">
                  <c:v>-1.44486607943069</c:v>
                </c:pt>
                <c:pt idx="35">
                  <c:v>-1.613506056960285</c:v>
                </c:pt>
                <c:pt idx="36">
                  <c:v>-1.792145942555286</c:v>
                </c:pt>
                <c:pt idx="37">
                  <c:v>-1.980902650288913</c:v>
                </c:pt>
                <c:pt idx="38">
                  <c:v>-2.179894233990321</c:v>
                </c:pt>
                <c:pt idx="39">
                  <c:v>-2.389239897635801</c:v>
                </c:pt>
                <c:pt idx="40">
                  <c:v>-2.609060005831832</c:v>
                </c:pt>
                <c:pt idx="41">
                  <c:v>-2.839476094390964</c:v>
                </c:pt>
                <c:pt idx="42">
                  <c:v>-3.08061088100137</c:v>
                </c:pt>
                <c:pt idx="43">
                  <c:v>-3.332588275990789</c:v>
                </c:pt>
                <c:pt idx="44">
                  <c:v>-3.595533393185722</c:v>
                </c:pt>
                <c:pt idx="45">
                  <c:v>-3.869572560866702</c:v>
                </c:pt>
                <c:pt idx="46">
                  <c:v>-4.154833332820495</c:v>
                </c:pt>
                <c:pt idx="47">
                  <c:v>-4.4514444994901</c:v>
                </c:pt>
                <c:pt idx="48">
                  <c:v>-4.759536099223402</c:v>
                </c:pt>
                <c:pt idx="49">
                  <c:v>-5.079239429621138</c:v>
                </c:pt>
                <c:pt idx="50">
                  <c:v>-5.410687058985424</c:v>
                </c:pt>
              </c:numCache>
            </c:numRef>
          </c:val>
          <c:smooth val="0"/>
        </c:ser>
        <c:ser>
          <c:idx val="0"/>
          <c:order val="1"/>
          <c:tx>
            <c:v>Real World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numRef>
              <c:f>('Data Sheet'!$F$2,'Data Sheet'!$F$4,'Data Sheet'!$F$6,'Data Sheet'!$F$8,'Data Sheet'!$F$10,'Data Sheet'!$F$12,'Data Sheet'!$F$14,'Data Sheet'!$F$16:$F$61)</c:f>
              <c:numCache>
                <c:formatCode>General</c:formatCode>
                <c:ptCount val="52"/>
                <c:pt idx="0">
                  <c:v>8.0</c:v>
                </c:pt>
                <c:pt idx="1">
                  <c:v>9.0</c:v>
                </c:pt>
                <c:pt idx="2">
                  <c:v>10.0</c:v>
                </c:pt>
                <c:pt idx="3">
                  <c:v>11.0</c:v>
                </c:pt>
                <c:pt idx="4">
                  <c:v>12.0</c:v>
                </c:pt>
                <c:pt idx="5">
                  <c:v>13.0</c:v>
                </c:pt>
                <c:pt idx="6">
                  <c:v>14.0</c:v>
                </c:pt>
                <c:pt idx="7">
                  <c:v>15.0</c:v>
                </c:pt>
                <c:pt idx="8">
                  <c:v>16.0</c:v>
                </c:pt>
                <c:pt idx="9">
                  <c:v>17.0</c:v>
                </c:pt>
                <c:pt idx="10">
                  <c:v>18.0</c:v>
                </c:pt>
                <c:pt idx="11">
                  <c:v>19.0</c:v>
                </c:pt>
                <c:pt idx="12">
                  <c:v>20.0</c:v>
                </c:pt>
                <c:pt idx="13">
                  <c:v>21.0</c:v>
                </c:pt>
                <c:pt idx="15">
                  <c:v>22.0</c:v>
                </c:pt>
                <c:pt idx="16">
                  <c:v>23.0</c:v>
                </c:pt>
                <c:pt idx="17">
                  <c:v>24.0</c:v>
                </c:pt>
                <c:pt idx="18">
                  <c:v>25.0</c:v>
                </c:pt>
                <c:pt idx="19">
                  <c:v>26.0</c:v>
                </c:pt>
                <c:pt idx="20">
                  <c:v>27.0</c:v>
                </c:pt>
                <c:pt idx="21">
                  <c:v>28.0</c:v>
                </c:pt>
                <c:pt idx="22">
                  <c:v>29.0</c:v>
                </c:pt>
                <c:pt idx="23">
                  <c:v>30.0</c:v>
                </c:pt>
                <c:pt idx="24">
                  <c:v>31.0</c:v>
                </c:pt>
                <c:pt idx="25">
                  <c:v>32.0</c:v>
                </c:pt>
                <c:pt idx="26">
                  <c:v>33.0</c:v>
                </c:pt>
                <c:pt idx="27">
                  <c:v>34.0</c:v>
                </c:pt>
                <c:pt idx="28">
                  <c:v>35.0</c:v>
                </c:pt>
                <c:pt idx="29">
                  <c:v>36.0</c:v>
                </c:pt>
                <c:pt idx="30">
                  <c:v>37.0</c:v>
                </c:pt>
                <c:pt idx="31">
                  <c:v>38.0</c:v>
                </c:pt>
                <c:pt idx="32">
                  <c:v>39.0</c:v>
                </c:pt>
                <c:pt idx="33">
                  <c:v>40.0</c:v>
                </c:pt>
                <c:pt idx="34">
                  <c:v>41.0</c:v>
                </c:pt>
                <c:pt idx="35">
                  <c:v>42.0</c:v>
                </c:pt>
                <c:pt idx="36">
                  <c:v>43.0</c:v>
                </c:pt>
                <c:pt idx="37">
                  <c:v>44.0</c:v>
                </c:pt>
                <c:pt idx="38">
                  <c:v>45.0</c:v>
                </c:pt>
                <c:pt idx="39">
                  <c:v>46.0</c:v>
                </c:pt>
                <c:pt idx="40">
                  <c:v>47.0</c:v>
                </c:pt>
                <c:pt idx="41">
                  <c:v>48.0</c:v>
                </c:pt>
                <c:pt idx="42">
                  <c:v>49.0</c:v>
                </c:pt>
                <c:pt idx="43">
                  <c:v>50.0</c:v>
                </c:pt>
                <c:pt idx="44">
                  <c:v>51.0</c:v>
                </c:pt>
                <c:pt idx="45">
                  <c:v>52.0</c:v>
                </c:pt>
                <c:pt idx="46">
                  <c:v>53.0</c:v>
                </c:pt>
                <c:pt idx="47">
                  <c:v>54.0</c:v>
                </c:pt>
                <c:pt idx="48">
                  <c:v>55.0</c:v>
                </c:pt>
                <c:pt idx="49">
                  <c:v>56.0</c:v>
                </c:pt>
                <c:pt idx="50">
                  <c:v>57.0</c:v>
                </c:pt>
                <c:pt idx="51">
                  <c:v>58.0</c:v>
                </c:pt>
              </c:numCache>
            </c:numRef>
          </c:cat>
          <c:val>
            <c:numRef>
              <c:f>('Data Sheet'!$W$2,'Data Sheet'!$W$4,'Data Sheet'!$W$6,'Data Sheet'!$W$8,'Data Sheet'!$W$10,'Data Sheet'!$W$12,'Data Sheet'!$W$14,'Data Sheet'!$W$16:$W$22,'Data Sheet'!$W$24:$W$58)</c:f>
              <c:numCache>
                <c:formatCode>General</c:formatCode>
                <c:ptCount val="48"/>
                <c:pt idx="2">
                  <c:v>0.0</c:v>
                </c:pt>
                <c:pt idx="7">
                  <c:v>0.0</c:v>
                </c:pt>
                <c:pt idx="12">
                  <c:v>0.0</c:v>
                </c:pt>
                <c:pt idx="17">
                  <c:v>0.0</c:v>
                </c:pt>
                <c:pt idx="22">
                  <c:v>0.0</c:v>
                </c:pt>
                <c:pt idx="27">
                  <c:v>0.0</c:v>
                </c:pt>
                <c:pt idx="32">
                  <c:v>0.0</c:v>
                </c:pt>
                <c:pt idx="37">
                  <c:v>0.0</c:v>
                </c:pt>
                <c:pt idx="42">
                  <c:v>0.0</c:v>
                </c:pt>
                <c:pt idx="47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559512"/>
        <c:axId val="2100571128"/>
      </c:lineChart>
      <c:catAx>
        <c:axId val="21005595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in Yards</a:t>
                </a:r>
              </a:p>
            </c:rich>
          </c:tx>
          <c:layout>
            <c:manualLayout>
              <c:xMode val="edge"/>
              <c:yMode val="edge"/>
              <c:x val="0.476804020100503"/>
              <c:y val="0.901991293967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0571128"/>
        <c:crossesAt val="0.0"/>
        <c:auto val="1"/>
        <c:lblAlgn val="ctr"/>
        <c:lblOffset val="0"/>
        <c:tickLblSkip val="1"/>
        <c:tickMarkSkip val="2"/>
        <c:noMultiLvlLbl val="0"/>
      </c:catAx>
      <c:valAx>
        <c:axId val="21005711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Drop from Line of Sight in Inches</a:t>
                </a:r>
              </a:p>
            </c:rich>
          </c:tx>
          <c:layout>
            <c:manualLayout>
              <c:xMode val="edge"/>
              <c:yMode val="edge"/>
              <c:x val="0.0103092628496815"/>
              <c:y val="0.3552835489744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0559512"/>
        <c:crosses val="autoZero"/>
        <c:crossBetween val="midCat"/>
        <c:majorUnit val="0.2"/>
        <c:minorUnit val="0.136730771874964"/>
      </c:valAx>
      <c:spPr>
        <a:solidFill>
          <a:srgbClr val="FFFFFF"/>
        </a:solidFill>
        <a:ln w="3175">
          <a:solidFill>
            <a:schemeClr val="tx1">
              <a:alpha val="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4398607209275"/>
          <c:y val="0.0336906584992343"/>
          <c:w val="0.176116804494915"/>
          <c:h val="0.0290964777947933"/>
        </c:manualLayout>
      </c:layout>
      <c:overlay val="0"/>
      <c:spPr>
        <a:solidFill>
          <a:srgbClr val="C0C0C0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chemeClr val="accent6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0</xdr:colOff>
      <xdr:row>86</xdr:row>
      <xdr:rowOff>12700</xdr:rowOff>
    </xdr:to>
    <xdr:graphicFrame macro="">
      <xdr:nvGraphicFramePr>
        <xdr:cNvPr id="4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8"/>
  <sheetViews>
    <sheetView showGridLines="0" tabSelected="1" showOutlineSymbols="0" zoomScale="150" zoomScaleNormal="150" zoomScaleSheetLayoutView="125" zoomScalePageLayoutView="150" workbookViewId="0">
      <selection activeCell="Y5" sqref="Y5:Z5"/>
    </sheetView>
  </sheetViews>
  <sheetFormatPr baseColWidth="10" defaultRowHeight="13" x14ac:dyDescent="0"/>
  <cols>
    <col min="1" max="1" width="15.1640625" style="4" bestFit="1" customWidth="1"/>
    <col min="2" max="2" width="4" style="4" customWidth="1"/>
    <col min="3" max="3" width="4" style="2" customWidth="1"/>
    <col min="4" max="4" width="11.6640625" style="2" customWidth="1"/>
    <col min="5" max="5" width="1.1640625" style="3" customWidth="1"/>
    <col min="6" max="6" width="4.5" style="33" bestFit="1" customWidth="1"/>
    <col min="7" max="11" width="5.6640625" style="33" hidden="1" customWidth="1"/>
    <col min="12" max="12" width="3.6640625" style="33" bestFit="1" customWidth="1"/>
    <col min="13" max="13" width="5.6640625" style="33" hidden="1" customWidth="1"/>
    <col min="14" max="14" width="4.6640625" style="33" bestFit="1" customWidth="1"/>
    <col min="15" max="15" width="5.5" style="33" hidden="1" customWidth="1"/>
    <col min="16" max="16" width="4.6640625" style="33" hidden="1" customWidth="1"/>
    <col min="17" max="17" width="4.1640625" style="33" customWidth="1"/>
    <col min="18" max="18" width="4.5" style="33" customWidth="1"/>
    <col min="19" max="20" width="4.1640625" style="33" bestFit="1" customWidth="1"/>
    <col min="21" max="21" width="5.6640625" style="4" hidden="1" customWidth="1"/>
    <col min="22" max="22" width="4.5" style="4" hidden="1" customWidth="1"/>
    <col min="23" max="23" width="2.33203125" style="22" customWidth="1"/>
    <col min="24" max="35" width="3.6640625" customWidth="1"/>
    <col min="36" max="36" width="9.1640625" style="4" bestFit="1" customWidth="1"/>
    <col min="37" max="37" width="3.6640625" style="4" bestFit="1" customWidth="1"/>
    <col min="38" max="38" width="5" style="4" bestFit="1" customWidth="1"/>
    <col min="39" max="16384" width="10.83203125" style="4"/>
  </cols>
  <sheetData>
    <row r="1" spans="1:50" ht="13" customHeight="1">
      <c r="A1" s="32" t="s">
        <v>52</v>
      </c>
      <c r="B1" s="1"/>
      <c r="F1" s="121" t="s">
        <v>22</v>
      </c>
      <c r="G1" s="122" t="s">
        <v>17</v>
      </c>
      <c r="H1" s="122" t="s">
        <v>18</v>
      </c>
      <c r="I1" s="122" t="s">
        <v>26</v>
      </c>
      <c r="J1" s="122" t="s">
        <v>19</v>
      </c>
      <c r="K1" s="122" t="s">
        <v>45</v>
      </c>
      <c r="L1" s="122" t="s">
        <v>50</v>
      </c>
      <c r="M1" s="122" t="s">
        <v>20</v>
      </c>
      <c r="N1" s="122" t="s">
        <v>21</v>
      </c>
      <c r="O1" s="122" t="s">
        <v>27</v>
      </c>
      <c r="P1" s="122" t="s">
        <v>47</v>
      </c>
      <c r="Q1" s="122" t="s">
        <v>23</v>
      </c>
      <c r="R1" s="122" t="s">
        <v>44</v>
      </c>
      <c r="S1" s="122" t="s">
        <v>24</v>
      </c>
      <c r="T1" s="123" t="s">
        <v>28</v>
      </c>
      <c r="U1" s="120" t="s">
        <v>29</v>
      </c>
      <c r="V1" s="114" t="s">
        <v>22</v>
      </c>
      <c r="W1" s="30"/>
      <c r="X1" s="134" t="s">
        <v>76</v>
      </c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59" t="s">
        <v>62</v>
      </c>
      <c r="AK1" s="159"/>
      <c r="AL1" s="159"/>
      <c r="AM1"/>
      <c r="AN1"/>
      <c r="AO1"/>
      <c r="AP1"/>
      <c r="AQ1"/>
      <c r="AR1"/>
      <c r="AS1"/>
      <c r="AT1"/>
      <c r="AU1"/>
      <c r="AV1"/>
      <c r="AW1"/>
      <c r="AX1"/>
    </row>
    <row r="2" spans="1:50" ht="13" customHeight="1">
      <c r="A2" s="5"/>
      <c r="B2" s="6" t="s">
        <v>2</v>
      </c>
      <c r="C2" s="162" t="s">
        <v>68</v>
      </c>
      <c r="D2" s="162"/>
      <c r="F2" s="34">
        <v>8</v>
      </c>
      <c r="G2" s="35"/>
      <c r="H2" s="35">
        <f t="shared" ref="H2:H24" si="0">EXP(X*F2)-1</f>
        <v>3.4921937128916447E-2</v>
      </c>
      <c r="I2" s="36">
        <f t="shared" ref="I2:I24" si="1">H2*3/(X*Muzzle_Velocity)</f>
        <v>3.1303417733003221E-2</v>
      </c>
      <c r="J2" s="37"/>
      <c r="K2" s="36">
        <f t="shared" ref="K2:K24" si="2">Traj._Coefficient*I2^2</f>
        <v>0.19598079235338012</v>
      </c>
      <c r="L2" s="38">
        <f t="shared" ref="L2:L24" si="3">Muzzle_Velocity*EXP(-(X*F2))</f>
        <v>753.68003326306757</v>
      </c>
      <c r="M2" s="39">
        <f t="shared" ref="M2:M24" si="4">F2*(Scope_Height+A)</f>
        <v>32.483746563116796</v>
      </c>
      <c r="N2" s="40">
        <f t="shared" ref="N2:N24" si="5">M2/Zero_Distance-Scope_Height-K2</f>
        <v>-0.89663092982870829</v>
      </c>
      <c r="O2" s="40">
        <f t="shared" ref="O2:O24" si="6">(N2/F2)*(100/MOA_Factor)</f>
        <v>-11.207886622858855</v>
      </c>
      <c r="P2" s="39">
        <f t="shared" ref="P2:P24" si="7">ROUND((O2/Click_Value)*-1,0)</f>
        <v>78</v>
      </c>
      <c r="Q2" s="41" t="str">
        <f>IF(P2&lt;0, "- "&amp;TRUNC(ABS(P2)/Turret_Subdivisions,0) &amp; "." &amp; MOD(ABS(P2),Turret_Subdivisions),IF(P2&gt;=Turret_Max,TRUNC(P2/Turret_Max,0)&amp;"+"&amp;TRUNC((P2-(TRUNC(P2/Turret_Max,0)*Turret_Max))/Turret_Subdivisions,0) &amp; "." &amp; MOD((P2-(TRUNC(P2/Turret_Max,0)*Turret_Max)),Turret_Subdivisions),TRUNC(P2/Turret_Subdivisions,0) &amp; "." &amp; MOD(P2,Turret_Subdivisions)))</f>
        <v>1+2.2</v>
      </c>
      <c r="R2" s="42">
        <f>IF((Best_Hold_Minimum+N2)&gt;Best_Hold_Minimum,N2,IF((Best_Hold_Minimum+N2)&lt;0,ROUND((-1*(Best_Hold_Minimum+N2)),1),IF((N2+(0.5*Best_Hold_Minimum))&gt;0,IF((N2+(0.5*Best_Hold_Minimum))&lt;0.05,"Zero","on"),"on")))</f>
        <v>0.4</v>
      </c>
      <c r="S2" s="43">
        <f t="shared" ref="S2:S24" si="8">L2^2*Weight/Denominator</f>
        <v>10.592997333993837</v>
      </c>
      <c r="T2" s="44">
        <f t="shared" ref="T2:T24" si="9">ROUND(SIN(90*(3.1415927/180))*17.6*Wind_Speed*(I2-((F2*3)/Muzzle_Velocity)),2)</f>
        <v>0.05</v>
      </c>
      <c r="U2" s="11">
        <f t="shared" ref="U2:U24" si="10">(T2/F2)*(100/MOA_Factor)</f>
        <v>0.625</v>
      </c>
      <c r="V2" s="20">
        <f t="shared" ref="V2:V24" si="11">F2</f>
        <v>8</v>
      </c>
      <c r="W2" s="21"/>
      <c r="X2" s="97"/>
      <c r="Y2" s="124">
        <v>1</v>
      </c>
      <c r="Z2" s="124">
        <v>2</v>
      </c>
      <c r="AA2" s="124">
        <v>3</v>
      </c>
      <c r="AB2" s="124">
        <v>4</v>
      </c>
      <c r="AC2" s="124">
        <v>5</v>
      </c>
      <c r="AD2" s="124">
        <v>6</v>
      </c>
      <c r="AE2" s="124">
        <v>7</v>
      </c>
      <c r="AF2" s="124">
        <v>8</v>
      </c>
      <c r="AG2" s="124">
        <v>9</v>
      </c>
      <c r="AH2" s="124">
        <v>10</v>
      </c>
      <c r="AI2" s="98" t="s">
        <v>59</v>
      </c>
      <c r="AJ2" s="115" t="s">
        <v>53</v>
      </c>
      <c r="AK2" s="125" t="s">
        <v>58</v>
      </c>
      <c r="AL2" s="116" t="s">
        <v>12</v>
      </c>
      <c r="AM2"/>
      <c r="AN2"/>
      <c r="AO2"/>
      <c r="AP2"/>
      <c r="AQ2"/>
      <c r="AR2"/>
      <c r="AS2"/>
      <c r="AT2"/>
      <c r="AU2"/>
      <c r="AV2"/>
      <c r="AW2"/>
      <c r="AX2"/>
    </row>
    <row r="3" spans="1:50" ht="13" customHeight="1">
      <c r="A3" s="5"/>
      <c r="B3" s="6" t="s">
        <v>3</v>
      </c>
      <c r="C3" s="162" t="s">
        <v>0</v>
      </c>
      <c r="D3" s="162"/>
      <c r="F3" s="45">
        <v>8.5</v>
      </c>
      <c r="G3" s="35"/>
      <c r="H3" s="35">
        <f t="shared" si="0"/>
        <v>3.714461621973264E-2</v>
      </c>
      <c r="I3" s="36">
        <f t="shared" si="1"/>
        <v>3.3295788654735932E-2</v>
      </c>
      <c r="J3" s="37"/>
      <c r="K3" s="36">
        <f t="shared" si="2"/>
        <v>0.22172190842816838</v>
      </c>
      <c r="L3" s="38">
        <f t="shared" si="3"/>
        <v>752.06484014062198</v>
      </c>
      <c r="M3" s="39">
        <f t="shared" si="4"/>
        <v>34.513980723311597</v>
      </c>
      <c r="N3" s="40">
        <f t="shared" si="5"/>
        <v>-0.84116267949570445</v>
      </c>
      <c r="O3" s="40">
        <f t="shared" si="6"/>
        <v>-9.8960315234788769</v>
      </c>
      <c r="P3" s="39">
        <f t="shared" si="7"/>
        <v>69</v>
      </c>
      <c r="Q3" s="41" t="str">
        <f t="shared" ref="Q3:Q66" si="12">IF(P3&lt;0, "- "&amp;TRUNC(ABS(P3)/Turret_Subdivisions,0) &amp; "." &amp; MOD(ABS(P3),Turret_Subdivisions),IF(P3&gt;=Turret_Max,TRUNC(P3/Turret_Max,0)&amp;"+"&amp;TRUNC((P3-(TRUNC(P3/Turret_Max,0)*Turret_Max))/Turret_Subdivisions,0) &amp; "." &amp; MOD((P3-(TRUNC(P3/Turret_Max,0)*Turret_Max)),Turret_Subdivisions),TRUNC(P3/Turret_Subdivisions,0) &amp; "." &amp; MOD(P3,Turret_Subdivisions)))</f>
        <v>1+1.1</v>
      </c>
      <c r="R3" s="42">
        <f>IF((Best_Hold_Minimum+N3)&gt;Best_Hold_Minimum,N3,IF((Best_Hold_Minimum+N3)&lt;0,ROUND((-1*(Best_Hold_Minimum+N3)),1),IF((N3+(0.5*Best_Hold_Minimum))&gt;0,IF((N3+(0.5*Best_Hold_Minimum))&lt;0.05,"Zero","on"),"on")))</f>
        <v>0.3</v>
      </c>
      <c r="S3" s="43">
        <f t="shared" si="8"/>
        <v>10.547642801677236</v>
      </c>
      <c r="T3" s="44">
        <f t="shared" si="9"/>
        <v>0.05</v>
      </c>
      <c r="U3" s="11">
        <f t="shared" si="10"/>
        <v>0.58823529411764708</v>
      </c>
      <c r="V3" s="18">
        <f t="shared" si="11"/>
        <v>8.5</v>
      </c>
      <c r="W3" s="21"/>
      <c r="X3" s="99" t="s">
        <v>60</v>
      </c>
      <c r="Y3" s="100">
        <v>895.6</v>
      </c>
      <c r="Z3" s="100">
        <v>895.8</v>
      </c>
      <c r="AA3" s="100">
        <v>893.4</v>
      </c>
      <c r="AB3" s="100">
        <v>895.1</v>
      </c>
      <c r="AC3" s="100">
        <v>893.7</v>
      </c>
      <c r="AD3" s="100">
        <v>894.4</v>
      </c>
      <c r="AE3" s="100">
        <v>897.9</v>
      </c>
      <c r="AF3" s="100">
        <v>899.1</v>
      </c>
      <c r="AG3" s="100">
        <v>898.9</v>
      </c>
      <c r="AH3" s="100">
        <v>899.3</v>
      </c>
      <c r="AI3" s="101">
        <f>IF(SUM(Y3:AH3)&gt;0,(ROUND(AVERAGE(Y3:AH3),1)),0)</f>
        <v>896.3</v>
      </c>
      <c r="AJ3" s="111" t="s">
        <v>63</v>
      </c>
      <c r="AK3" s="112">
        <v>884</v>
      </c>
      <c r="AL3" s="113">
        <v>0.96599999999999997</v>
      </c>
      <c r="AM3"/>
      <c r="AN3"/>
      <c r="AO3"/>
      <c r="AP3"/>
      <c r="AQ3"/>
      <c r="AR3"/>
      <c r="AS3"/>
      <c r="AT3"/>
      <c r="AU3"/>
      <c r="AV3"/>
      <c r="AW3"/>
      <c r="AX3"/>
    </row>
    <row r="4" spans="1:50" ht="13" customHeight="1">
      <c r="A4" s="32" t="s">
        <v>71</v>
      </c>
      <c r="B4" s="1"/>
      <c r="F4" s="45">
        <v>9</v>
      </c>
      <c r="G4" s="35"/>
      <c r="H4" s="35">
        <f t="shared" si="0"/>
        <v>3.9372068909564906E-2</v>
      </c>
      <c r="I4" s="36">
        <f t="shared" si="1"/>
        <v>3.5292438547693476E-2</v>
      </c>
      <c r="J4" s="37"/>
      <c r="K4" s="36">
        <f t="shared" si="2"/>
        <v>0.24911124372854407</v>
      </c>
      <c r="L4" s="38">
        <f t="shared" si="3"/>
        <v>750.45310849878854</v>
      </c>
      <c r="M4" s="39">
        <f t="shared" si="4"/>
        <v>36.544214883506399</v>
      </c>
      <c r="N4" s="40">
        <f t="shared" si="5"/>
        <v>-0.78734264838828816</v>
      </c>
      <c r="O4" s="40">
        <f t="shared" si="6"/>
        <v>-8.7482516487587585</v>
      </c>
      <c r="P4" s="39">
        <f t="shared" si="7"/>
        <v>61</v>
      </c>
      <c r="Q4" s="41" t="str">
        <f t="shared" si="12"/>
        <v>1+0.1</v>
      </c>
      <c r="R4" s="42">
        <f t="shared" ref="R4:R66" si="13">IF((Best_Hold_Minimum+N4)&gt;Best_Hold_Minimum,N4,IF((Best_Hold_Minimum+N4)&lt;0,ROUND((-1*(Best_Hold_Minimum+N4)),1),IF((N4+(0.5*Best_Hold_Minimum))&gt;0,IF((N4+(0.5*Best_Hold_Minimum))&lt;0.05,"Zero","on"),"on")))</f>
        <v>0.3</v>
      </c>
      <c r="S4" s="43">
        <f t="shared" si="8"/>
        <v>10.502482457420619</v>
      </c>
      <c r="T4" s="44">
        <f t="shared" si="9"/>
        <v>0.06</v>
      </c>
      <c r="U4" s="11">
        <f t="shared" si="10"/>
        <v>0.66666666666666663</v>
      </c>
      <c r="V4" s="18">
        <f t="shared" si="11"/>
        <v>9</v>
      </c>
      <c r="X4" s="99" t="s">
        <v>61</v>
      </c>
      <c r="Y4" s="100">
        <v>875.1</v>
      </c>
      <c r="Z4" s="100">
        <v>891.4</v>
      </c>
      <c r="AA4" s="100">
        <v>887.7</v>
      </c>
      <c r="AB4" s="100">
        <v>889.9</v>
      </c>
      <c r="AC4" s="100">
        <v>879.4</v>
      </c>
      <c r="AD4" s="100">
        <v>881.5</v>
      </c>
      <c r="AE4" s="100">
        <v>883.1</v>
      </c>
      <c r="AF4" s="100">
        <v>889.8</v>
      </c>
      <c r="AG4" s="100">
        <v>887.3</v>
      </c>
      <c r="AH4" s="100">
        <v>876.2</v>
      </c>
      <c r="AI4" s="101">
        <f>IF(SUM(Y4:AH4)&gt;0,(ROUND(AVERAGE(Y4:AH4),1)),0)</f>
        <v>884.1</v>
      </c>
      <c r="AJ4" s="111" t="s">
        <v>64</v>
      </c>
      <c r="AK4" s="112">
        <v>895</v>
      </c>
      <c r="AL4" s="113">
        <v>0.97299999999999998</v>
      </c>
      <c r="AM4"/>
      <c r="AN4"/>
      <c r="AO4"/>
      <c r="AP4"/>
      <c r="AQ4"/>
      <c r="AR4"/>
      <c r="AS4"/>
      <c r="AT4"/>
      <c r="AU4"/>
    </row>
    <row r="5" spans="1:50" ht="13" customHeight="1">
      <c r="A5" s="5"/>
      <c r="B5" s="6" t="s">
        <v>4</v>
      </c>
      <c r="C5" s="162" t="s">
        <v>69</v>
      </c>
      <c r="D5" s="162"/>
      <c r="F5" s="45">
        <v>9.5</v>
      </c>
      <c r="G5" s="35"/>
      <c r="H5" s="35">
        <f t="shared" si="0"/>
        <v>4.1604305450566814E-2</v>
      </c>
      <c r="I5" s="36">
        <f t="shared" si="1"/>
        <v>3.7293376601728191E-2</v>
      </c>
      <c r="J5" s="37"/>
      <c r="K5" s="36">
        <f t="shared" si="2"/>
        <v>0.27815918767166553</v>
      </c>
      <c r="L5" s="38">
        <f t="shared" si="3"/>
        <v>748.84483091935317</v>
      </c>
      <c r="M5" s="39">
        <f t="shared" si="4"/>
        <v>38.574449043701193</v>
      </c>
      <c r="N5" s="40">
        <f t="shared" si="5"/>
        <v>-0.7351812259236179</v>
      </c>
      <c r="O5" s="40">
        <f t="shared" si="6"/>
        <v>-7.7387497465644</v>
      </c>
      <c r="P5" s="39">
        <f t="shared" si="7"/>
        <v>54</v>
      </c>
      <c r="Q5" s="41" t="str">
        <f t="shared" si="12"/>
        <v>6.6</v>
      </c>
      <c r="R5" s="42">
        <f t="shared" si="13"/>
        <v>0.2</v>
      </c>
      <c r="S5" s="43">
        <f t="shared" si="8"/>
        <v>10.457515469796537</v>
      </c>
      <c r="T5" s="44">
        <f t="shared" si="9"/>
        <v>7.0000000000000007E-2</v>
      </c>
      <c r="U5" s="11">
        <f t="shared" si="10"/>
        <v>0.73684210526315796</v>
      </c>
      <c r="V5" s="18">
        <f t="shared" si="11"/>
        <v>9.5</v>
      </c>
      <c r="W5" s="21"/>
      <c r="X5" s="99" t="s">
        <v>12</v>
      </c>
      <c r="Y5" s="135">
        <f>IF(AI3=0,"",ROUND(AI4/AI3,3))</f>
        <v>0.98599999999999999</v>
      </c>
      <c r="Z5" s="136"/>
      <c r="AA5" s="102"/>
      <c r="AB5" s="102"/>
      <c r="AC5" s="102"/>
      <c r="AD5" s="102"/>
      <c r="AE5" s="102"/>
      <c r="AF5" s="102"/>
      <c r="AG5" s="102"/>
      <c r="AH5" s="102"/>
      <c r="AI5" s="102"/>
      <c r="AJ5" s="111" t="s">
        <v>65</v>
      </c>
      <c r="AK5" s="112">
        <v>894</v>
      </c>
      <c r="AL5" s="113">
        <v>0.96299999999999997</v>
      </c>
      <c r="AM5"/>
      <c r="AN5"/>
      <c r="AO5"/>
      <c r="AP5"/>
      <c r="AQ5"/>
      <c r="AR5"/>
      <c r="AS5"/>
      <c r="AT5"/>
      <c r="AU5"/>
    </row>
    <row r="6" spans="1:50" ht="13" customHeight="1">
      <c r="A6" s="1"/>
      <c r="B6" s="6" t="s">
        <v>5</v>
      </c>
      <c r="C6" s="162" t="s">
        <v>1</v>
      </c>
      <c r="D6" s="162"/>
      <c r="F6" s="45">
        <v>10</v>
      </c>
      <c r="G6" s="35"/>
      <c r="H6" s="35">
        <f t="shared" si="0"/>
        <v>4.3841336116910323E-2</v>
      </c>
      <c r="I6" s="36">
        <f t="shared" si="1"/>
        <v>3.9298612026429341E-2</v>
      </c>
      <c r="J6" s="37"/>
      <c r="K6" s="36">
        <f t="shared" si="2"/>
        <v>0.30887618144076334</v>
      </c>
      <c r="L6" s="46">
        <f t="shared" si="3"/>
        <v>747.24</v>
      </c>
      <c r="M6" s="47">
        <f t="shared" si="4"/>
        <v>40.604683203895995</v>
      </c>
      <c r="N6" s="48">
        <f t="shared" si="5"/>
        <v>-0.68468885328492346</v>
      </c>
      <c r="O6" s="48">
        <f t="shared" si="6"/>
        <v>-6.8468885328492348</v>
      </c>
      <c r="P6" s="47">
        <f t="shared" si="7"/>
        <v>48</v>
      </c>
      <c r="Q6" s="49" t="str">
        <f>IF(P6&lt;0, "- "&amp;TRUNC(ABS(P6)/Turret_Subdivisions,0) &amp; "." &amp; MOD(ABS(P6),Turret_Subdivisions),IF(P6&gt;=Turret_Max,TRUNC(P6/Turret_Max,0)&amp;"+"&amp;TRUNC((P6-(TRUNC(P6/Turret_Max,0)*Turret_Max))/Turret_Subdivisions,0) &amp; "." &amp; MOD((P6-(TRUNC(P6/Turret_Max,0)*Turret_Max)),Turret_Subdivisions),TRUNC(P6/Turret_Subdivisions,0) &amp; "." &amp; MOD(P6,Turret_Subdivisions)))</f>
        <v>6.0</v>
      </c>
      <c r="R6" s="50">
        <f t="shared" si="13"/>
        <v>0.2</v>
      </c>
      <c r="S6" s="51">
        <f t="shared" si="8"/>
        <v>10.412741010937369</v>
      </c>
      <c r="T6" s="52">
        <f t="shared" si="9"/>
        <v>7.0000000000000007E-2</v>
      </c>
      <c r="U6" s="23">
        <f t="shared" si="10"/>
        <v>0.70000000000000007</v>
      </c>
      <c r="V6" s="18">
        <f t="shared" si="11"/>
        <v>10</v>
      </c>
      <c r="W6" s="14" t="str">
        <f>IF(B35="","",-A35*((B35*Click_Value)/(100/MOA_Factor)))</f>
        <v/>
      </c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3" customHeight="1" thickBot="1">
      <c r="A7" s="32" t="s">
        <v>53</v>
      </c>
      <c r="B7" s="1"/>
      <c r="F7" s="45">
        <v>10.5</v>
      </c>
      <c r="G7" s="35"/>
      <c r="H7" s="35">
        <f t="shared" si="0"/>
        <v>4.6083171204833073E-2</v>
      </c>
      <c r="I7" s="36">
        <f t="shared" si="1"/>
        <v>4.1308154051165447E-2</v>
      </c>
      <c r="J7" s="37"/>
      <c r="K7" s="36">
        <f t="shared" si="2"/>
        <v>0.34127271822296329</v>
      </c>
      <c r="L7" s="38">
        <f t="shared" si="3"/>
        <v>745.63860835427636</v>
      </c>
      <c r="M7" s="39">
        <f t="shared" si="4"/>
        <v>42.634917364090796</v>
      </c>
      <c r="N7" s="40">
        <f t="shared" si="5"/>
        <v>-0.63587602365933149</v>
      </c>
      <c r="O7" s="40">
        <f t="shared" si="6"/>
        <v>-6.0559621300888713</v>
      </c>
      <c r="P7" s="39">
        <f t="shared" si="7"/>
        <v>42</v>
      </c>
      <c r="Q7" s="41" t="str">
        <f t="shared" si="12"/>
        <v>5.2</v>
      </c>
      <c r="R7" s="42">
        <f t="shared" si="13"/>
        <v>0.1</v>
      </c>
      <c r="S7" s="43">
        <f t="shared" si="8"/>
        <v>10.368158256520031</v>
      </c>
      <c r="T7" s="44">
        <f t="shared" si="9"/>
        <v>0.08</v>
      </c>
      <c r="U7" s="11">
        <f t="shared" si="10"/>
        <v>0.76190476190476186</v>
      </c>
      <c r="V7" s="18">
        <f t="shared" si="11"/>
        <v>10.5</v>
      </c>
      <c r="W7" s="21"/>
      <c r="X7" s="126" t="s">
        <v>22</v>
      </c>
      <c r="Y7" s="128" t="s">
        <v>23</v>
      </c>
      <c r="Z7" s="128" t="s">
        <v>21</v>
      </c>
      <c r="AA7" s="128" t="s">
        <v>22</v>
      </c>
      <c r="AB7" s="128" t="s">
        <v>23</v>
      </c>
      <c r="AC7" s="128" t="s">
        <v>21</v>
      </c>
      <c r="AD7" s="129" t="s">
        <v>22</v>
      </c>
      <c r="AE7" s="128" t="s">
        <v>23</v>
      </c>
      <c r="AF7" s="128" t="s">
        <v>21</v>
      </c>
      <c r="AG7" s="129" t="s">
        <v>22</v>
      </c>
      <c r="AH7" s="128" t="s">
        <v>23</v>
      </c>
      <c r="AI7" s="127" t="s">
        <v>21</v>
      </c>
    </row>
    <row r="8" spans="1:50" ht="13" customHeight="1">
      <c r="A8" s="1"/>
      <c r="B8" s="6" t="s">
        <v>4</v>
      </c>
      <c r="C8" s="158" t="s">
        <v>66</v>
      </c>
      <c r="D8" s="157"/>
      <c r="F8" s="45">
        <v>11</v>
      </c>
      <c r="G8" s="35"/>
      <c r="H8" s="35">
        <f t="shared" si="0"/>
        <v>4.8329821032685905E-2</v>
      </c>
      <c r="I8" s="36">
        <f t="shared" si="1"/>
        <v>4.3322011925126948E-2</v>
      </c>
      <c r="J8" s="37"/>
      <c r="K8" s="36">
        <f t="shared" si="2"/>
        <v>0.37535934344816829</v>
      </c>
      <c r="L8" s="38">
        <f t="shared" si="3"/>
        <v>744.04064861155985</v>
      </c>
      <c r="M8" s="39">
        <f t="shared" si="4"/>
        <v>44.665151524285591</v>
      </c>
      <c r="N8" s="40">
        <f t="shared" si="5"/>
        <v>-0.58875328247674474</v>
      </c>
      <c r="O8" s="40">
        <f t="shared" si="6"/>
        <v>-5.3523025679704066</v>
      </c>
      <c r="P8" s="39">
        <f t="shared" si="7"/>
        <v>37</v>
      </c>
      <c r="Q8" s="41" t="str">
        <f t="shared" si="12"/>
        <v>4.5</v>
      </c>
      <c r="R8" s="42">
        <f t="shared" si="13"/>
        <v>0.1</v>
      </c>
      <c r="S8" s="43">
        <f t="shared" si="8"/>
        <v>10.323766385750849</v>
      </c>
      <c r="T8" s="44">
        <f t="shared" si="9"/>
        <v>0.09</v>
      </c>
      <c r="U8" s="11">
        <f t="shared" si="10"/>
        <v>0.81818181818181812</v>
      </c>
      <c r="V8" s="18">
        <f t="shared" si="11"/>
        <v>11</v>
      </c>
      <c r="W8" s="21"/>
      <c r="X8" s="61">
        <f t="shared" ref="X8:X22" si="14">F2</f>
        <v>8</v>
      </c>
      <c r="Y8" s="59" t="str">
        <f>Q2</f>
        <v>1+2.2</v>
      </c>
      <c r="Z8" s="58">
        <f>N2</f>
        <v>-0.89663092982870829</v>
      </c>
      <c r="AA8" s="103">
        <f t="shared" ref="AA8:AA13" si="15">F17</f>
        <v>16</v>
      </c>
      <c r="AB8" s="59" t="str">
        <f>Q17</f>
        <v>1.1</v>
      </c>
      <c r="AC8" s="58">
        <f>N17</f>
        <v>-0.21283856674760682</v>
      </c>
      <c r="AD8" s="61">
        <f t="shared" ref="AD8:AD22" si="16">F34</f>
        <v>31</v>
      </c>
      <c r="AE8" s="60" t="str">
        <f>Q34</f>
        <v>0.5</v>
      </c>
      <c r="AF8" s="96">
        <f>N34</f>
        <v>-0.21749324664232139</v>
      </c>
      <c r="AG8" s="61">
        <f t="shared" ref="AG8:AG22" si="17">F49</f>
        <v>46</v>
      </c>
      <c r="AH8" s="60" t="str">
        <f>Q49</f>
        <v>4.1</v>
      </c>
      <c r="AI8" s="96">
        <f>N49</f>
        <v>-2.1798942339903213</v>
      </c>
    </row>
    <row r="9" spans="1:50" ht="13" customHeight="1">
      <c r="A9" s="1"/>
      <c r="B9" s="6" t="s">
        <v>5</v>
      </c>
      <c r="C9" s="158" t="s">
        <v>67</v>
      </c>
      <c r="D9" s="157"/>
      <c r="F9" s="45">
        <v>11.5</v>
      </c>
      <c r="G9" s="35"/>
      <c r="H9" s="35">
        <f t="shared" si="0"/>
        <v>5.0581295940979487E-2</v>
      </c>
      <c r="I9" s="36">
        <f t="shared" si="1"/>
        <v>4.534019491736796E-2</v>
      </c>
      <c r="J9" s="37"/>
      <c r="K9" s="36">
        <f t="shared" si="2"/>
        <v>0.4111466550289839</v>
      </c>
      <c r="L9" s="38">
        <f t="shared" si="3"/>
        <v>742.44611341702353</v>
      </c>
      <c r="M9" s="39">
        <f t="shared" si="4"/>
        <v>46.695385684480392</v>
      </c>
      <c r="N9" s="40">
        <f t="shared" si="5"/>
        <v>-0.54333122764976816</v>
      </c>
      <c r="O9" s="40">
        <f t="shared" si="6"/>
        <v>-4.7246193708675488</v>
      </c>
      <c r="P9" s="39">
        <f t="shared" si="7"/>
        <v>33</v>
      </c>
      <c r="Q9" s="41" t="str">
        <f t="shared" si="12"/>
        <v>4.1</v>
      </c>
      <c r="R9" s="42">
        <f t="shared" si="13"/>
        <v>0</v>
      </c>
      <c r="S9" s="43">
        <f t="shared" si="8"/>
        <v>10.27956458135041</v>
      </c>
      <c r="T9" s="44">
        <f t="shared" si="9"/>
        <v>0.1</v>
      </c>
      <c r="U9" s="11">
        <f t="shared" si="10"/>
        <v>0.86956521739130432</v>
      </c>
      <c r="V9" s="18">
        <f t="shared" si="11"/>
        <v>11.5</v>
      </c>
      <c r="X9" s="57">
        <f t="shared" si="14"/>
        <v>8.5</v>
      </c>
      <c r="Y9" s="59" t="str">
        <f t="shared" ref="Y9:Y22" si="18">Q3</f>
        <v>1+1.1</v>
      </c>
      <c r="Z9" s="58">
        <f t="shared" ref="Z9:Z22" si="19">N3</f>
        <v>-0.84116267949570445</v>
      </c>
      <c r="AA9" s="103">
        <f t="shared" si="15"/>
        <v>17</v>
      </c>
      <c r="AB9" s="59" t="str">
        <f t="shared" ref="AB9:AB13" si="20">Q18</f>
        <v>0.7</v>
      </c>
      <c r="AC9" s="58">
        <f t="shared" ref="AC9:AC13" si="21">N18</f>
        <v>-0.15901819134095974</v>
      </c>
      <c r="AD9" s="57">
        <f t="shared" si="16"/>
        <v>32</v>
      </c>
      <c r="AE9" s="60" t="str">
        <f t="shared" ref="AE9:AE22" si="22">Q35</f>
        <v>0.6</v>
      </c>
      <c r="AF9" s="96">
        <f t="shared" ref="AF9:AF22" si="23">N35</f>
        <v>-0.28353472559623949</v>
      </c>
      <c r="AG9" s="57">
        <f t="shared" si="17"/>
        <v>47</v>
      </c>
      <c r="AH9" s="60" t="str">
        <f t="shared" ref="AH9:AH22" si="24">Q50</f>
        <v>4.4</v>
      </c>
      <c r="AI9" s="96">
        <f t="shared" ref="AI9:AI22" si="25">N50</f>
        <v>-2.3892398976358011</v>
      </c>
    </row>
    <row r="10" spans="1:50" ht="13" customHeight="1" thickBot="1">
      <c r="A10" s="1"/>
      <c r="B10" s="6" t="s">
        <v>6</v>
      </c>
      <c r="C10" s="163">
        <v>0.17699999999999999</v>
      </c>
      <c r="D10" s="157"/>
      <c r="F10" s="45">
        <v>12</v>
      </c>
      <c r="G10" s="35"/>
      <c r="H10" s="35">
        <f t="shared" si="0"/>
        <v>5.283760629243317E-2</v>
      </c>
      <c r="I10" s="36">
        <f t="shared" si="1"/>
        <v>4.7362712316850075E-2</v>
      </c>
      <c r="J10" s="37"/>
      <c r="K10" s="36">
        <f t="shared" si="2"/>
        <v>0.44864530360174038</v>
      </c>
      <c r="L10" s="38">
        <f t="shared" si="3"/>
        <v>740.85499543160256</v>
      </c>
      <c r="M10" s="39">
        <f t="shared" si="4"/>
        <v>48.725619844675194</v>
      </c>
      <c r="N10" s="40">
        <f t="shared" si="5"/>
        <v>-0.49962050981473261</v>
      </c>
      <c r="O10" s="40">
        <f t="shared" si="6"/>
        <v>-4.1635042484561051</v>
      </c>
      <c r="P10" s="39">
        <f t="shared" si="7"/>
        <v>29</v>
      </c>
      <c r="Q10" s="41" t="str">
        <f t="shared" si="12"/>
        <v>3.5</v>
      </c>
      <c r="R10" s="42" t="str">
        <f t="shared" si="13"/>
        <v>on</v>
      </c>
      <c r="S10" s="43">
        <f t="shared" si="8"/>
        <v>10.235552029538539</v>
      </c>
      <c r="T10" s="44">
        <f t="shared" si="9"/>
        <v>0.11</v>
      </c>
      <c r="U10" s="11">
        <f t="shared" si="10"/>
        <v>0.91666666666666663</v>
      </c>
      <c r="V10" s="18">
        <f t="shared" si="11"/>
        <v>12</v>
      </c>
      <c r="W10" s="21"/>
      <c r="X10" s="130">
        <f t="shared" si="14"/>
        <v>9</v>
      </c>
      <c r="Y10" s="59" t="str">
        <f t="shared" si="18"/>
        <v>1+0.1</v>
      </c>
      <c r="Z10" s="58">
        <f t="shared" si="19"/>
        <v>-0.78734264838828816</v>
      </c>
      <c r="AA10" s="103">
        <f t="shared" si="15"/>
        <v>18</v>
      </c>
      <c r="AB10" s="59" t="str">
        <f t="shared" si="20"/>
        <v>0.4</v>
      </c>
      <c r="AC10" s="58">
        <f t="shared" si="21"/>
        <v>-0.11252604668887467</v>
      </c>
      <c r="AD10" s="57">
        <f t="shared" si="16"/>
        <v>33</v>
      </c>
      <c r="AE10" s="60" t="str">
        <f t="shared" si="22"/>
        <v>1.0</v>
      </c>
      <c r="AF10" s="96">
        <f t="shared" si="23"/>
        <v>-0.35836239958207328</v>
      </c>
      <c r="AG10" s="57">
        <f t="shared" si="17"/>
        <v>48</v>
      </c>
      <c r="AH10" s="60" t="str">
        <f t="shared" si="24"/>
        <v>4.6</v>
      </c>
      <c r="AI10" s="96">
        <f t="shared" si="25"/>
        <v>-2.6090600058318323</v>
      </c>
    </row>
    <row r="11" spans="1:50" ht="13" customHeight="1" thickBot="1">
      <c r="A11" s="1"/>
      <c r="B11" s="6" t="s">
        <v>37</v>
      </c>
      <c r="C11" s="104">
        <v>8.4</v>
      </c>
      <c r="D11" s="110" t="s">
        <v>36</v>
      </c>
      <c r="F11" s="45">
        <v>12.5</v>
      </c>
      <c r="G11" s="35"/>
      <c r="H11" s="35">
        <f t="shared" si="0"/>
        <v>5.5098762472022056E-2</v>
      </c>
      <c r="I11" s="36">
        <f t="shared" si="1"/>
        <v>4.9389573432484547E-2</v>
      </c>
      <c r="J11" s="37"/>
      <c r="K11" s="36">
        <f t="shared" si="2"/>
        <v>0.48786599276855669</v>
      </c>
      <c r="L11" s="38">
        <f t="shared" si="3"/>
        <v>739.26728733196023</v>
      </c>
      <c r="M11" s="39">
        <f t="shared" si="4"/>
        <v>50.755854004869995</v>
      </c>
      <c r="N11" s="40">
        <f t="shared" si="5"/>
        <v>-0.45763183257375695</v>
      </c>
      <c r="O11" s="40">
        <f t="shared" si="6"/>
        <v>-3.6610546605900551</v>
      </c>
      <c r="P11" s="39">
        <f t="shared" si="7"/>
        <v>26</v>
      </c>
      <c r="Q11" s="41" t="str">
        <f t="shared" si="12"/>
        <v>3.2</v>
      </c>
      <c r="R11" s="42" t="str">
        <f t="shared" si="13"/>
        <v>on</v>
      </c>
      <c r="S11" s="43">
        <f t="shared" si="8"/>
        <v>10.191727920019302</v>
      </c>
      <c r="T11" s="44">
        <f t="shared" si="9"/>
        <v>0.12</v>
      </c>
      <c r="U11" s="11">
        <f t="shared" si="10"/>
        <v>0.96</v>
      </c>
      <c r="V11" s="18">
        <f t="shared" si="11"/>
        <v>12.5</v>
      </c>
      <c r="W11" s="21"/>
      <c r="X11" s="57">
        <f t="shared" si="14"/>
        <v>9.5</v>
      </c>
      <c r="Y11" s="59" t="str">
        <f t="shared" si="18"/>
        <v>6.6</v>
      </c>
      <c r="Z11" s="58">
        <f t="shared" si="19"/>
        <v>-0.7351812259236179</v>
      </c>
      <c r="AA11" s="103">
        <f t="shared" si="15"/>
        <v>19</v>
      </c>
      <c r="AB11" s="59" t="str">
        <f t="shared" si="20"/>
        <v>0.3</v>
      </c>
      <c r="AC11" s="58">
        <f t="shared" si="21"/>
        <v>-7.3452777230998523E-2</v>
      </c>
      <c r="AD11" s="57">
        <f t="shared" si="16"/>
        <v>34</v>
      </c>
      <c r="AE11" s="60" t="str">
        <f t="shared" si="22"/>
        <v>1.1</v>
      </c>
      <c r="AF11" s="96">
        <f t="shared" si="23"/>
        <v>-0.44208130564228965</v>
      </c>
      <c r="AG11" s="57">
        <f t="shared" si="17"/>
        <v>49</v>
      </c>
      <c r="AH11" s="60" t="str">
        <f t="shared" si="24"/>
        <v>5.1</v>
      </c>
      <c r="AI11" s="96">
        <f t="shared" si="25"/>
        <v>-2.8394760943909638</v>
      </c>
    </row>
    <row r="12" spans="1:50" ht="13" customHeight="1">
      <c r="A12" s="1"/>
      <c r="B12" s="6" t="s">
        <v>74</v>
      </c>
      <c r="C12" s="156">
        <v>4.5199999999999996</v>
      </c>
      <c r="D12" s="157"/>
      <c r="F12" s="45">
        <v>13</v>
      </c>
      <c r="G12" s="35"/>
      <c r="H12" s="35">
        <f t="shared" si="0"/>
        <v>5.7364774887024517E-2</v>
      </c>
      <c r="I12" s="36">
        <f t="shared" si="1"/>
        <v>5.1420787593174908E-2</v>
      </c>
      <c r="J12" s="37"/>
      <c r="K12" s="36">
        <f t="shared" si="2"/>
        <v>0.52881947934048212</v>
      </c>
      <c r="L12" s="38">
        <f t="shared" si="3"/>
        <v>737.68298181045418</v>
      </c>
      <c r="M12" s="39">
        <f t="shared" si="4"/>
        <v>52.786088165064797</v>
      </c>
      <c r="N12" s="40">
        <f t="shared" si="5"/>
        <v>-0.41737595273789041</v>
      </c>
      <c r="O12" s="40">
        <f t="shared" si="6"/>
        <v>-3.2105842518299261</v>
      </c>
      <c r="P12" s="39">
        <f t="shared" si="7"/>
        <v>22</v>
      </c>
      <c r="Q12" s="41" t="str">
        <f t="shared" si="12"/>
        <v>2.6</v>
      </c>
      <c r="R12" s="42" t="str">
        <f t="shared" si="13"/>
        <v>on</v>
      </c>
      <c r="S12" s="43">
        <f t="shared" si="8"/>
        <v>10.148091445966095</v>
      </c>
      <c r="T12" s="44">
        <f t="shared" si="9"/>
        <v>0.13</v>
      </c>
      <c r="U12" s="11">
        <f t="shared" si="10"/>
        <v>1</v>
      </c>
      <c r="V12" s="18">
        <f t="shared" si="11"/>
        <v>13</v>
      </c>
      <c r="W12" s="21"/>
      <c r="X12" s="130">
        <f t="shared" si="14"/>
        <v>10</v>
      </c>
      <c r="Y12" s="167" t="str">
        <f t="shared" si="18"/>
        <v>6.0</v>
      </c>
      <c r="Z12" s="166">
        <f t="shared" si="19"/>
        <v>-0.68468885328492346</v>
      </c>
      <c r="AA12" s="103">
        <f t="shared" si="15"/>
        <v>20</v>
      </c>
      <c r="AB12" s="167" t="str">
        <f t="shared" si="20"/>
        <v>0.1</v>
      </c>
      <c r="AC12" s="166">
        <f t="shared" si="21"/>
        <v>-4.1889926811067291E-2</v>
      </c>
      <c r="AD12" s="57">
        <f t="shared" si="16"/>
        <v>35</v>
      </c>
      <c r="AE12" s="167" t="str">
        <f t="shared" si="22"/>
        <v>1.3</v>
      </c>
      <c r="AF12" s="166">
        <f t="shared" si="23"/>
        <v>-0.53479751212209159</v>
      </c>
      <c r="AG12" s="57">
        <f t="shared" si="17"/>
        <v>50</v>
      </c>
      <c r="AH12" s="167" t="str">
        <f t="shared" si="24"/>
        <v>5.3</v>
      </c>
      <c r="AI12" s="166">
        <f t="shared" si="25"/>
        <v>-3.0806108810013697</v>
      </c>
    </row>
    <row r="13" spans="1:50" ht="13" customHeight="1">
      <c r="A13" s="32" t="s">
        <v>54</v>
      </c>
      <c r="B13" s="6"/>
      <c r="F13" s="45">
        <v>13.5</v>
      </c>
      <c r="G13" s="35"/>
      <c r="H13" s="35">
        <f t="shared" si="0"/>
        <v>5.9635653967070823E-2</v>
      </c>
      <c r="I13" s="36">
        <f t="shared" si="1"/>
        <v>5.3456364147860529E-2</v>
      </c>
      <c r="J13" s="37"/>
      <c r="K13" s="36">
        <f t="shared" si="2"/>
        <v>0.57151657358173369</v>
      </c>
      <c r="L13" s="38">
        <f t="shared" si="3"/>
        <v>736.1020715751032</v>
      </c>
      <c r="M13" s="39">
        <f t="shared" si="4"/>
        <v>54.816322325259591</v>
      </c>
      <c r="N13" s="40">
        <f t="shared" si="5"/>
        <v>-0.37886368057135</v>
      </c>
      <c r="O13" s="40">
        <f t="shared" si="6"/>
        <v>-2.8063976338618519</v>
      </c>
      <c r="P13" s="39">
        <f t="shared" si="7"/>
        <v>20</v>
      </c>
      <c r="Q13" s="41" t="str">
        <f t="shared" si="12"/>
        <v>2.4</v>
      </c>
      <c r="R13" s="42" t="str">
        <f t="shared" si="13"/>
        <v>on</v>
      </c>
      <c r="S13" s="43">
        <f t="shared" si="8"/>
        <v>10.104641804006796</v>
      </c>
      <c r="T13" s="44">
        <f t="shared" si="9"/>
        <v>0.13</v>
      </c>
      <c r="U13" s="11">
        <f t="shared" si="10"/>
        <v>0.96296296296296302</v>
      </c>
      <c r="V13" s="18">
        <f t="shared" si="11"/>
        <v>13.5</v>
      </c>
      <c r="W13" s="21"/>
      <c r="X13" s="57">
        <f t="shared" si="14"/>
        <v>10.5</v>
      </c>
      <c r="Y13" s="59" t="str">
        <f t="shared" si="18"/>
        <v>5.2</v>
      </c>
      <c r="Z13" s="58">
        <f t="shared" si="19"/>
        <v>-0.63587602365933149</v>
      </c>
      <c r="AA13" s="103">
        <f t="shared" si="15"/>
        <v>21</v>
      </c>
      <c r="AB13" s="59" t="str">
        <f t="shared" si="20"/>
        <v>0.1</v>
      </c>
      <c r="AC13" s="58">
        <f t="shared" si="21"/>
        <v>-1.7929946936527497E-2</v>
      </c>
      <c r="AD13" s="57">
        <f t="shared" si="16"/>
        <v>36</v>
      </c>
      <c r="AE13" s="60" t="str">
        <f t="shared" si="22"/>
        <v>1.4</v>
      </c>
      <c r="AF13" s="96">
        <f t="shared" si="23"/>
        <v>-0.63661812809964768</v>
      </c>
      <c r="AG13" s="57">
        <f t="shared" si="17"/>
        <v>51</v>
      </c>
      <c r="AH13" s="60" t="str">
        <f t="shared" si="24"/>
        <v>5.6</v>
      </c>
      <c r="AI13" s="96">
        <f t="shared" si="25"/>
        <v>-3.3325882759907888</v>
      </c>
    </row>
    <row r="14" spans="1:50" ht="13" customHeight="1">
      <c r="A14" s="1"/>
      <c r="B14" s="6" t="s">
        <v>4</v>
      </c>
      <c r="C14" s="158" t="s">
        <v>1</v>
      </c>
      <c r="D14" s="157"/>
      <c r="F14" s="45">
        <v>14</v>
      </c>
      <c r="G14" s="35"/>
      <c r="H14" s="35">
        <f t="shared" si="0"/>
        <v>6.1911410164190217E-2</v>
      </c>
      <c r="I14" s="36">
        <f t="shared" si="1"/>
        <v>5.5496312465558834E-2</v>
      </c>
      <c r="J14" s="37"/>
      <c r="K14" s="36">
        <f t="shared" si="2"/>
        <v>0.61596813945498818</v>
      </c>
      <c r="L14" s="38">
        <f t="shared" si="3"/>
        <v>734.5245493495529</v>
      </c>
      <c r="M14" s="39">
        <f t="shared" si="4"/>
        <v>56.846556485454393</v>
      </c>
      <c r="N14" s="40">
        <f t="shared" si="5"/>
        <v>-0.34210588003681253</v>
      </c>
      <c r="O14" s="40">
        <f t="shared" si="6"/>
        <v>-2.4436134288343752</v>
      </c>
      <c r="P14" s="39">
        <f t="shared" si="7"/>
        <v>17</v>
      </c>
      <c r="Q14" s="41" t="str">
        <f t="shared" si="12"/>
        <v>2.1</v>
      </c>
      <c r="R14" s="42" t="str">
        <f t="shared" si="13"/>
        <v>on</v>
      </c>
      <c r="S14" s="43">
        <f t="shared" si="8"/>
        <v>10.061378194208952</v>
      </c>
      <c r="T14" s="44">
        <f t="shared" si="9"/>
        <v>0.15</v>
      </c>
      <c r="U14" s="11">
        <f t="shared" si="10"/>
        <v>1.0714285714285714</v>
      </c>
      <c r="V14" s="18">
        <f t="shared" si="11"/>
        <v>14</v>
      </c>
      <c r="X14" s="130">
        <f t="shared" si="14"/>
        <v>11</v>
      </c>
      <c r="Y14" s="59" t="str">
        <f t="shared" si="18"/>
        <v>4.5</v>
      </c>
      <c r="Z14" s="58">
        <f t="shared" si="19"/>
        <v>-0.58875328247674474</v>
      </c>
      <c r="AA14" s="103">
        <f>F24</f>
        <v>22</v>
      </c>
      <c r="AB14" s="59" t="str">
        <f>Q24</f>
        <v>0.0</v>
      </c>
      <c r="AC14" s="58">
        <f>N24</f>
        <v>-1.6662051116209664E-3</v>
      </c>
      <c r="AD14" s="57">
        <f t="shared" si="16"/>
        <v>37</v>
      </c>
      <c r="AE14" s="60" t="str">
        <f t="shared" si="22"/>
        <v>1.6</v>
      </c>
      <c r="AF14" s="96">
        <f t="shared" si="23"/>
        <v>-0.74765131289991427</v>
      </c>
      <c r="AG14" s="57">
        <f t="shared" si="17"/>
        <v>52</v>
      </c>
      <c r="AH14" s="60" t="str">
        <f t="shared" si="24"/>
        <v>6.0</v>
      </c>
      <c r="AI14" s="96">
        <f t="shared" si="25"/>
        <v>-3.5955333931857218</v>
      </c>
    </row>
    <row r="15" spans="1:50" ht="13" customHeight="1" thickBot="1">
      <c r="B15" s="6" t="s">
        <v>5</v>
      </c>
      <c r="C15" s="163" t="s">
        <v>8</v>
      </c>
      <c r="D15" s="165"/>
      <c r="F15" s="45">
        <v>14.5</v>
      </c>
      <c r="G15" s="35"/>
      <c r="H15" s="35">
        <f t="shared" si="0"/>
        <v>6.4192053952859762E-2</v>
      </c>
      <c r="I15" s="36">
        <f t="shared" si="1"/>
        <v>5.7540641935409094E-2</v>
      </c>
      <c r="J15" s="37"/>
      <c r="K15" s="36">
        <f t="shared" si="2"/>
        <v>0.66218509486779198</v>
      </c>
      <c r="L15" s="38">
        <f t="shared" si="3"/>
        <v>732.95040787304299</v>
      </c>
      <c r="M15" s="39">
        <f t="shared" si="4"/>
        <v>58.876790645649194</v>
      </c>
      <c r="N15" s="40">
        <f t="shared" si="5"/>
        <v>-0.30711346904182435</v>
      </c>
      <c r="O15" s="40">
        <f t="shared" si="6"/>
        <v>-2.118023924426375</v>
      </c>
      <c r="P15" s="39">
        <f t="shared" si="7"/>
        <v>15</v>
      </c>
      <c r="Q15" s="41" t="str">
        <f t="shared" si="12"/>
        <v>1.7</v>
      </c>
      <c r="R15" s="42" t="str">
        <f t="shared" si="13"/>
        <v>on</v>
      </c>
      <c r="S15" s="43">
        <f t="shared" si="8"/>
        <v>10.018299820065085</v>
      </c>
      <c r="T15" s="44">
        <f t="shared" si="9"/>
        <v>0.16</v>
      </c>
      <c r="U15" s="11">
        <f t="shared" si="10"/>
        <v>1.103448275862069</v>
      </c>
      <c r="V15" s="18">
        <f t="shared" si="11"/>
        <v>14.5</v>
      </c>
      <c r="W15" s="21"/>
      <c r="X15" s="57">
        <f t="shared" si="14"/>
        <v>11.5</v>
      </c>
      <c r="Y15" s="59" t="str">
        <f t="shared" si="18"/>
        <v>4.1</v>
      </c>
      <c r="Z15" s="58">
        <f t="shared" si="19"/>
        <v>-0.54333122764976816</v>
      </c>
      <c r="AA15" s="103">
        <f t="shared" ref="AA15:AA22" si="26">F26</f>
        <v>23</v>
      </c>
      <c r="AB15" s="59" t="str">
        <f>Q26</f>
        <v>0.0</v>
      </c>
      <c r="AC15" s="58">
        <f>N26</f>
        <v>6.8070067555972003E-3</v>
      </c>
      <c r="AD15" s="57">
        <f t="shared" si="16"/>
        <v>38</v>
      </c>
      <c r="AE15" s="60" t="str">
        <f t="shared" si="22"/>
        <v>2.0</v>
      </c>
      <c r="AF15" s="96">
        <f t="shared" si="23"/>
        <v>-0.86800628569281457</v>
      </c>
      <c r="AG15" s="57">
        <f t="shared" si="17"/>
        <v>53</v>
      </c>
      <c r="AH15" s="60" t="str">
        <f t="shared" si="24"/>
        <v>6.3</v>
      </c>
      <c r="AI15" s="96">
        <f t="shared" si="25"/>
        <v>-3.8695725608667022</v>
      </c>
    </row>
    <row r="16" spans="1:50" ht="13" customHeight="1" thickBot="1">
      <c r="B16" s="6" t="s">
        <v>73</v>
      </c>
      <c r="C16" s="154"/>
      <c r="D16" s="155"/>
      <c r="F16" s="45">
        <v>15</v>
      </c>
      <c r="G16" s="35"/>
      <c r="H16" s="35">
        <f t="shared" si="0"/>
        <v>6.6477595830052749E-2</v>
      </c>
      <c r="I16" s="36">
        <f t="shared" si="1"/>
        <v>5.9589361966715798E-2</v>
      </c>
      <c r="J16" s="37"/>
      <c r="K16" s="36">
        <f t="shared" si="2"/>
        <v>0.71017841192005504</v>
      </c>
      <c r="L16" s="46">
        <f t="shared" si="3"/>
        <v>731.37963990037349</v>
      </c>
      <c r="M16" s="47">
        <f t="shared" si="4"/>
        <v>60.907024805843989</v>
      </c>
      <c r="N16" s="48">
        <f t="shared" si="5"/>
        <v>-0.27389741968629544</v>
      </c>
      <c r="O16" s="48">
        <f t="shared" si="6"/>
        <v>-1.8259827979086363</v>
      </c>
      <c r="P16" s="47">
        <f t="shared" si="7"/>
        <v>13</v>
      </c>
      <c r="Q16" s="49" t="str">
        <f t="shared" si="12"/>
        <v>1.5</v>
      </c>
      <c r="R16" s="50" t="str">
        <f t="shared" si="13"/>
        <v>on</v>
      </c>
      <c r="S16" s="51">
        <f t="shared" si="8"/>
        <v>9.975405888477999</v>
      </c>
      <c r="T16" s="52">
        <f t="shared" si="9"/>
        <v>0.17</v>
      </c>
      <c r="U16" s="23">
        <f t="shared" si="10"/>
        <v>1.1333333333333333</v>
      </c>
      <c r="V16" s="18">
        <f t="shared" si="11"/>
        <v>15</v>
      </c>
      <c r="W16" s="14" t="str">
        <f>IF(B36="","",-A36*((B36*Click_Value)/(100/MOA_Factor)))</f>
        <v/>
      </c>
      <c r="X16" s="130">
        <f t="shared" si="14"/>
        <v>12</v>
      </c>
      <c r="Y16" s="59" t="str">
        <f t="shared" si="18"/>
        <v>3.5</v>
      </c>
      <c r="Z16" s="58">
        <f t="shared" si="19"/>
        <v>-0.49962050981473261</v>
      </c>
      <c r="AA16" s="103">
        <f t="shared" si="26"/>
        <v>24</v>
      </c>
      <c r="AB16" s="59" t="str">
        <f t="shared" ref="AB16:AB22" si="27">Q27</f>
        <v>0.0</v>
      </c>
      <c r="AC16" s="58">
        <f t="shared" ref="AC16:AC22" si="28">N27</f>
        <v>7.3944638715224276E-3</v>
      </c>
      <c r="AD16" s="57">
        <f t="shared" si="16"/>
        <v>39</v>
      </c>
      <c r="AE16" s="60" t="str">
        <f t="shared" si="22"/>
        <v>2.2</v>
      </c>
      <c r="AF16" s="96">
        <f t="shared" si="23"/>
        <v>-0.99779333517638857</v>
      </c>
      <c r="AG16" s="57">
        <f t="shared" si="17"/>
        <v>54</v>
      </c>
      <c r="AH16" s="60" t="str">
        <f t="shared" si="24"/>
        <v>6.6</v>
      </c>
      <c r="AI16" s="96">
        <f t="shared" si="25"/>
        <v>-4.1548333328204947</v>
      </c>
    </row>
    <row r="17" spans="1:35" ht="13" customHeight="1" thickBot="1">
      <c r="A17" s="7" t="s">
        <v>46</v>
      </c>
      <c r="B17" s="104">
        <v>70</v>
      </c>
      <c r="C17" s="2" t="s">
        <v>35</v>
      </c>
      <c r="D17" s="118">
        <f>IF(C16="",IF(B17="","",10/B17),"")</f>
        <v>0.14285714285714285</v>
      </c>
      <c r="F17" s="45">
        <f t="shared" ref="F17:F22" si="29">F16+1</f>
        <v>16</v>
      </c>
      <c r="G17" s="35"/>
      <c r="H17" s="35">
        <f t="shared" si="0"/>
        <v>7.1063415950668896E-2</v>
      </c>
      <c r="I17" s="36">
        <f t="shared" si="1"/>
        <v>6.3700011451998592E-2</v>
      </c>
      <c r="J17" s="37"/>
      <c r="K17" s="36">
        <f t="shared" si="2"/>
        <v>0.81153829179695036</v>
      </c>
      <c r="L17" s="38">
        <f t="shared" si="3"/>
        <v>728.24819556335706</v>
      </c>
      <c r="M17" s="39">
        <f t="shared" si="4"/>
        <v>64.967493126233592</v>
      </c>
      <c r="N17" s="40">
        <f t="shared" si="5"/>
        <v>-0.21283856674760682</v>
      </c>
      <c r="O17" s="40">
        <f t="shared" si="6"/>
        <v>-1.3302410421725426</v>
      </c>
      <c r="P17" s="39">
        <f t="shared" si="7"/>
        <v>9</v>
      </c>
      <c r="Q17" s="41" t="str">
        <f t="shared" si="12"/>
        <v>1.1</v>
      </c>
      <c r="R17" s="42" t="str">
        <f t="shared" si="13"/>
        <v>Zero</v>
      </c>
      <c r="S17" s="43">
        <f t="shared" si="8"/>
        <v>9.8901681975493112</v>
      </c>
      <c r="T17" s="44">
        <f t="shared" si="9"/>
        <v>0.19</v>
      </c>
      <c r="U17" s="11">
        <f t="shared" si="10"/>
        <v>1.1875</v>
      </c>
      <c r="V17" s="18">
        <f t="shared" si="11"/>
        <v>16</v>
      </c>
      <c r="W17" s="21"/>
      <c r="X17" s="57">
        <f t="shared" si="14"/>
        <v>12.5</v>
      </c>
      <c r="Y17" s="59" t="str">
        <f t="shared" si="18"/>
        <v>3.2</v>
      </c>
      <c r="Z17" s="58">
        <f t="shared" si="19"/>
        <v>-0.45763183257375695</v>
      </c>
      <c r="AA17" s="103">
        <f t="shared" si="26"/>
        <v>25</v>
      </c>
      <c r="AB17" s="167" t="str">
        <f t="shared" si="27"/>
        <v>0.0</v>
      </c>
      <c r="AC17" s="166">
        <f t="shared" si="28"/>
        <v>0</v>
      </c>
      <c r="AD17" s="57">
        <f t="shared" si="16"/>
        <v>40</v>
      </c>
      <c r="AE17" s="167" t="str">
        <f t="shared" si="22"/>
        <v>2.4</v>
      </c>
      <c r="AF17" s="166">
        <f t="shared" si="23"/>
        <v>-1.1371238293459029</v>
      </c>
      <c r="AG17" s="57">
        <f t="shared" si="17"/>
        <v>55</v>
      </c>
      <c r="AH17" s="167" t="str">
        <f t="shared" si="24"/>
        <v>7.1</v>
      </c>
      <c r="AI17" s="166">
        <f t="shared" si="25"/>
        <v>-4.4514444994900995</v>
      </c>
    </row>
    <row r="18" spans="1:35" ht="13" customHeight="1" thickBot="1">
      <c r="B18" s="6" t="s">
        <v>32</v>
      </c>
      <c r="C18" s="117">
        <v>8</v>
      </c>
      <c r="D18" s="117">
        <v>60</v>
      </c>
      <c r="F18" s="45">
        <f t="shared" si="29"/>
        <v>17</v>
      </c>
      <c r="G18" s="35"/>
      <c r="H18" s="35">
        <f t="shared" si="0"/>
        <v>7.5668954953576506E-2</v>
      </c>
      <c r="I18" s="36">
        <f t="shared" si="1"/>
        <v>6.7828336600785355E-2</v>
      </c>
      <c r="J18" s="37"/>
      <c r="K18" s="36">
        <f t="shared" si="2"/>
        <v>0.92013664920588767</v>
      </c>
      <c r="L18" s="38">
        <f t="shared" si="3"/>
        <v>725.13015868684533</v>
      </c>
      <c r="M18" s="39">
        <f t="shared" si="4"/>
        <v>69.027961446623195</v>
      </c>
      <c r="N18" s="40">
        <f t="shared" si="5"/>
        <v>-0.15901819134095974</v>
      </c>
      <c r="O18" s="40">
        <f t="shared" si="6"/>
        <v>-0.93540112553505728</v>
      </c>
      <c r="P18" s="39">
        <f t="shared" si="7"/>
        <v>7</v>
      </c>
      <c r="Q18" s="41" t="str">
        <f t="shared" si="12"/>
        <v>0.7</v>
      </c>
      <c r="R18" s="42" t="str">
        <f t="shared" si="13"/>
        <v>on</v>
      </c>
      <c r="S18" s="43">
        <f t="shared" si="8"/>
        <v>9.805658844297918</v>
      </c>
      <c r="T18" s="44">
        <f t="shared" si="9"/>
        <v>0.22</v>
      </c>
      <c r="U18" s="11">
        <f t="shared" si="10"/>
        <v>1.2941176470588236</v>
      </c>
      <c r="V18" s="18">
        <f t="shared" si="11"/>
        <v>17</v>
      </c>
      <c r="W18" s="21"/>
      <c r="X18" s="130">
        <f t="shared" si="14"/>
        <v>13</v>
      </c>
      <c r="Y18" s="59" t="str">
        <f t="shared" si="18"/>
        <v>2.6</v>
      </c>
      <c r="Z18" s="58">
        <f t="shared" si="19"/>
        <v>-0.41737595273789041</v>
      </c>
      <c r="AA18" s="103">
        <f t="shared" si="26"/>
        <v>26</v>
      </c>
      <c r="AB18" s="59" t="str">
        <f t="shared" si="27"/>
        <v>0.0</v>
      </c>
      <c r="AC18" s="58">
        <f t="shared" si="28"/>
        <v>-1.5473501170693904E-2</v>
      </c>
      <c r="AD18" s="57">
        <f t="shared" si="16"/>
        <v>41</v>
      </c>
      <c r="AE18" s="60" t="str">
        <f t="shared" si="22"/>
        <v>2.6</v>
      </c>
      <c r="AF18" s="96">
        <f t="shared" si="23"/>
        <v>-1.2861102253494074</v>
      </c>
      <c r="AG18" s="57">
        <f t="shared" si="17"/>
        <v>56</v>
      </c>
      <c r="AH18" s="60" t="str">
        <f t="shared" si="24"/>
        <v>7.3</v>
      </c>
      <c r="AI18" s="96">
        <f t="shared" si="25"/>
        <v>-4.7595360992234017</v>
      </c>
    </row>
    <row r="19" spans="1:35" ht="13" customHeight="1">
      <c r="B19" s="6" t="s">
        <v>10</v>
      </c>
      <c r="C19" s="156" t="s">
        <v>72</v>
      </c>
      <c r="D19" s="164"/>
      <c r="F19" s="45">
        <f t="shared" si="29"/>
        <v>18</v>
      </c>
      <c r="G19" s="35"/>
      <c r="H19" s="35">
        <f t="shared" si="0"/>
        <v>8.0294297629349254E-2</v>
      </c>
      <c r="I19" s="36">
        <f t="shared" si="1"/>
        <v>7.1974413417873251E-2</v>
      </c>
      <c r="J19" s="37"/>
      <c r="K19" s="36">
        <f t="shared" si="2"/>
        <v>1.0360632373693865</v>
      </c>
      <c r="L19" s="38">
        <f t="shared" si="3"/>
        <v>722.02547186601862</v>
      </c>
      <c r="M19" s="39">
        <f t="shared" si="4"/>
        <v>73.088429767012798</v>
      </c>
      <c r="N19" s="40">
        <f t="shared" si="5"/>
        <v>-0.11252604668887467</v>
      </c>
      <c r="O19" s="40">
        <f t="shared" si="6"/>
        <v>-0.62514470382708143</v>
      </c>
      <c r="P19" s="39">
        <f t="shared" si="7"/>
        <v>4</v>
      </c>
      <c r="Q19" s="41" t="str">
        <f t="shared" si="12"/>
        <v>0.4</v>
      </c>
      <c r="R19" s="42" t="str">
        <f t="shared" si="13"/>
        <v>on</v>
      </c>
      <c r="S19" s="43">
        <f t="shared" si="8"/>
        <v>9.7218716052355187</v>
      </c>
      <c r="T19" s="44">
        <f t="shared" si="9"/>
        <v>0.24</v>
      </c>
      <c r="U19" s="11">
        <f t="shared" si="10"/>
        <v>1.3333333333333333</v>
      </c>
      <c r="V19" s="18">
        <f t="shared" si="11"/>
        <v>18</v>
      </c>
      <c r="X19" s="57">
        <f t="shared" si="14"/>
        <v>13.5</v>
      </c>
      <c r="Y19" s="59" t="str">
        <f t="shared" si="18"/>
        <v>2.4</v>
      </c>
      <c r="Z19" s="58">
        <f t="shared" si="19"/>
        <v>-0.37886368057135</v>
      </c>
      <c r="AA19" s="103">
        <f t="shared" si="26"/>
        <v>27</v>
      </c>
      <c r="AB19" s="59" t="str">
        <f t="shared" si="27"/>
        <v>0.1</v>
      </c>
      <c r="AC19" s="58">
        <f t="shared" si="28"/>
        <v>-3.9124114737467242E-2</v>
      </c>
      <c r="AD19" s="57">
        <f t="shared" si="16"/>
        <v>42</v>
      </c>
      <c r="AE19" s="60" t="str">
        <f t="shared" si="22"/>
        <v>3.0</v>
      </c>
      <c r="AF19" s="96">
        <f t="shared" si="23"/>
        <v>-1.4448660794306898</v>
      </c>
      <c r="AG19" s="57">
        <f t="shared" si="17"/>
        <v>57</v>
      </c>
      <c r="AH19" s="60" t="str">
        <f t="shared" si="24"/>
        <v>1+0.2</v>
      </c>
      <c r="AI19" s="96">
        <f t="shared" si="25"/>
        <v>-5.0792394296211381</v>
      </c>
    </row>
    <row r="20" spans="1:35" ht="13" customHeight="1" thickBot="1">
      <c r="A20" s="32" t="s">
        <v>57</v>
      </c>
      <c r="B20" s="1"/>
      <c r="D20" s="13">
        <f>IF(C16="",IF(D17="","",D17),C16)</f>
        <v>0.14285714285714285</v>
      </c>
      <c r="F20" s="45">
        <f t="shared" si="29"/>
        <v>19</v>
      </c>
      <c r="G20" s="35"/>
      <c r="H20" s="35">
        <f t="shared" si="0"/>
        <v>8.4939529133157388E-2</v>
      </c>
      <c r="I20" s="36">
        <f t="shared" si="1"/>
        <v>7.6138318234877433E-2</v>
      </c>
      <c r="J20" s="37"/>
      <c r="K20" s="36">
        <f t="shared" si="2"/>
        <v>1.1594087007270939</v>
      </c>
      <c r="L20" s="38">
        <f t="shared" si="3"/>
        <v>718.9340779418394</v>
      </c>
      <c r="M20" s="39">
        <f t="shared" si="4"/>
        <v>77.148898087402387</v>
      </c>
      <c r="N20" s="40">
        <f t="shared" si="5"/>
        <v>-7.3452777230998523E-2</v>
      </c>
      <c r="O20" s="40">
        <f t="shared" si="6"/>
        <v>-0.38659356437367642</v>
      </c>
      <c r="P20" s="39">
        <f t="shared" si="7"/>
        <v>3</v>
      </c>
      <c r="Q20" s="41" t="str">
        <f t="shared" si="12"/>
        <v>0.3</v>
      </c>
      <c r="R20" s="42" t="str">
        <f t="shared" si="13"/>
        <v>on</v>
      </c>
      <c r="S20" s="43">
        <f t="shared" si="8"/>
        <v>9.638800310052174</v>
      </c>
      <c r="T20" s="44">
        <f t="shared" si="9"/>
        <v>0.27</v>
      </c>
      <c r="U20" s="11">
        <f t="shared" si="10"/>
        <v>1.4210526315789473</v>
      </c>
      <c r="V20" s="18">
        <f t="shared" si="11"/>
        <v>19</v>
      </c>
      <c r="W20" s="21"/>
      <c r="X20" s="57">
        <f t="shared" si="14"/>
        <v>14</v>
      </c>
      <c r="Y20" s="59" t="str">
        <f t="shared" si="18"/>
        <v>2.1</v>
      </c>
      <c r="Z20" s="58">
        <f t="shared" si="19"/>
        <v>-0.34210588003681253</v>
      </c>
      <c r="AA20" s="103">
        <f t="shared" si="26"/>
        <v>28</v>
      </c>
      <c r="AB20" s="59" t="str">
        <f t="shared" si="27"/>
        <v>0.2</v>
      </c>
      <c r="AC20" s="58">
        <f t="shared" si="28"/>
        <v>-7.1050883369340401E-2</v>
      </c>
      <c r="AD20" s="57">
        <f t="shared" si="16"/>
        <v>43</v>
      </c>
      <c r="AE20" s="60" t="str">
        <f t="shared" si="22"/>
        <v>3.2</v>
      </c>
      <c r="AF20" s="96">
        <f t="shared" si="23"/>
        <v>-1.6135060569602855</v>
      </c>
      <c r="AG20" s="57">
        <f t="shared" si="17"/>
        <v>58</v>
      </c>
      <c r="AH20" s="60" t="str">
        <f t="shared" si="24"/>
        <v>1+0.5</v>
      </c>
      <c r="AI20" s="96">
        <f t="shared" si="25"/>
        <v>-5.4106870589854239</v>
      </c>
    </row>
    <row r="21" spans="1:35" ht="13" customHeight="1" thickBot="1">
      <c r="B21" s="6" t="s">
        <v>11</v>
      </c>
      <c r="C21" s="104">
        <v>2</v>
      </c>
      <c r="D21" s="3" t="s">
        <v>42</v>
      </c>
      <c r="F21" s="45">
        <f t="shared" si="29"/>
        <v>20</v>
      </c>
      <c r="G21" s="35"/>
      <c r="H21" s="35">
        <f t="shared" si="0"/>
        <v>8.9604734986336476E-2</v>
      </c>
      <c r="I21" s="36">
        <f t="shared" si="1"/>
        <v>8.0320127711637351E-2</v>
      </c>
      <c r="J21" s="37"/>
      <c r="K21" s="36">
        <f t="shared" si="2"/>
        <v>1.2902645831227471</v>
      </c>
      <c r="L21" s="46">
        <f t="shared" si="3"/>
        <v>715.85591999999997</v>
      </c>
      <c r="M21" s="47">
        <f t="shared" si="4"/>
        <v>81.20936640779199</v>
      </c>
      <c r="N21" s="48">
        <f t="shared" si="5"/>
        <v>-4.1889926811067291E-2</v>
      </c>
      <c r="O21" s="48">
        <f t="shared" si="6"/>
        <v>-0.20944963405533645</v>
      </c>
      <c r="P21" s="47">
        <f t="shared" si="7"/>
        <v>1</v>
      </c>
      <c r="Q21" s="49" t="str">
        <f t="shared" si="12"/>
        <v>0.1</v>
      </c>
      <c r="R21" s="50" t="str">
        <f t="shared" si="13"/>
        <v>on</v>
      </c>
      <c r="S21" s="51">
        <f t="shared" si="8"/>
        <v>9.5564388411619223</v>
      </c>
      <c r="T21" s="52">
        <f t="shared" si="9"/>
        <v>0.3</v>
      </c>
      <c r="U21" s="23">
        <f t="shared" si="10"/>
        <v>1.5</v>
      </c>
      <c r="V21" s="18">
        <f t="shared" si="11"/>
        <v>20</v>
      </c>
      <c r="W21" s="14" t="str">
        <f>IF(B37="","",-A37*((B37*Click_Value)/(100/MOA_Factor)))</f>
        <v/>
      </c>
      <c r="X21" s="57">
        <f t="shared" si="14"/>
        <v>14.5</v>
      </c>
      <c r="Y21" s="59" t="str">
        <f t="shared" si="18"/>
        <v>1.7</v>
      </c>
      <c r="Z21" s="58">
        <f t="shared" si="19"/>
        <v>-0.30711346904182435</v>
      </c>
      <c r="AA21" s="103">
        <f t="shared" si="26"/>
        <v>29</v>
      </c>
      <c r="AB21" s="59" t="str">
        <f t="shared" si="27"/>
        <v>0.3</v>
      </c>
      <c r="AC21" s="58">
        <f t="shared" si="28"/>
        <v>-0.11135382617238543</v>
      </c>
      <c r="AD21" s="57">
        <f t="shared" si="16"/>
        <v>44</v>
      </c>
      <c r="AE21" s="60" t="str">
        <f t="shared" si="22"/>
        <v>3.5</v>
      </c>
      <c r="AF21" s="96">
        <f t="shared" si="23"/>
        <v>-1.7921459425552859</v>
      </c>
      <c r="AG21" s="57">
        <f t="shared" si="17"/>
        <v>59</v>
      </c>
      <c r="AH21" s="60" t="str">
        <f t="shared" si="24"/>
        <v>1+1.0</v>
      </c>
      <c r="AI21" s="96">
        <f t="shared" si="25"/>
        <v>-5.7540128378694106</v>
      </c>
    </row>
    <row r="22" spans="1:35" ht="13" customHeight="1" thickBot="1">
      <c r="B22" s="6" t="s">
        <v>49</v>
      </c>
      <c r="C22" s="104">
        <v>25</v>
      </c>
      <c r="D22" s="110" t="s">
        <v>34</v>
      </c>
      <c r="F22" s="67">
        <f t="shared" si="29"/>
        <v>21</v>
      </c>
      <c r="G22" s="35"/>
      <c r="H22" s="35">
        <f t="shared" si="0"/>
        <v>9.4290001077960151E-2</v>
      </c>
      <c r="I22" s="68">
        <f t="shared" si="1"/>
        <v>8.4519918837626412E-2</v>
      </c>
      <c r="J22" s="69"/>
      <c r="K22" s="68">
        <f t="shared" si="2"/>
        <v>1.4287233360637912</v>
      </c>
      <c r="L22" s="70">
        <f t="shared" si="3"/>
        <v>712.7909413698743</v>
      </c>
      <c r="M22" s="71">
        <f t="shared" si="4"/>
        <v>85.269834728181593</v>
      </c>
      <c r="N22" s="72">
        <f t="shared" si="5"/>
        <v>-1.7929946936527497E-2</v>
      </c>
      <c r="O22" s="72">
        <f t="shared" si="6"/>
        <v>-8.5380699697749987E-2</v>
      </c>
      <c r="P22" s="71">
        <f t="shared" si="7"/>
        <v>1</v>
      </c>
      <c r="Q22" s="73" t="str">
        <f t="shared" si="12"/>
        <v>0.1</v>
      </c>
      <c r="R22" s="42" t="str">
        <f t="shared" si="13"/>
        <v>on</v>
      </c>
      <c r="S22" s="74">
        <f t="shared" si="8"/>
        <v>9.4747811332522414</v>
      </c>
      <c r="T22" s="75">
        <f t="shared" si="9"/>
        <v>0.33</v>
      </c>
      <c r="U22" s="11">
        <f t="shared" si="10"/>
        <v>1.5714285714285716</v>
      </c>
      <c r="V22" s="18">
        <f t="shared" si="11"/>
        <v>21</v>
      </c>
      <c r="W22" s="21"/>
      <c r="X22" s="57">
        <f t="shared" si="14"/>
        <v>15</v>
      </c>
      <c r="Y22" s="167" t="str">
        <f t="shared" si="18"/>
        <v>1.5</v>
      </c>
      <c r="Z22" s="166">
        <f t="shared" si="19"/>
        <v>-0.27389741968629544</v>
      </c>
      <c r="AA22" s="103">
        <f t="shared" si="26"/>
        <v>30</v>
      </c>
      <c r="AB22" s="167" t="str">
        <f t="shared" si="27"/>
        <v>0.4</v>
      </c>
      <c r="AC22" s="166">
        <f t="shared" si="28"/>
        <v>-0.16013394763329458</v>
      </c>
      <c r="AD22" s="57">
        <f t="shared" si="16"/>
        <v>45</v>
      </c>
      <c r="AE22" s="167" t="str">
        <f t="shared" si="22"/>
        <v>3.7</v>
      </c>
      <c r="AF22" s="166">
        <f t="shared" si="23"/>
        <v>-1.9809026502889129</v>
      </c>
      <c r="AG22" s="57">
        <f t="shared" si="17"/>
        <v>60</v>
      </c>
      <c r="AH22" s="167" t="str">
        <f t="shared" si="24"/>
        <v>1+1.3</v>
      </c>
      <c r="AI22" s="166">
        <f t="shared" si="25"/>
        <v>-6.109351910729055</v>
      </c>
    </row>
    <row r="23" spans="1:35" ht="3" customHeight="1">
      <c r="B23" s="6"/>
      <c r="C23" s="106"/>
      <c r="D23" s="110"/>
      <c r="F23" s="87"/>
      <c r="G23" s="85"/>
      <c r="H23" s="85"/>
      <c r="I23" s="88"/>
      <c r="J23" s="85"/>
      <c r="K23" s="88"/>
      <c r="L23" s="89"/>
      <c r="M23" s="90"/>
      <c r="N23" s="91"/>
      <c r="O23" s="91"/>
      <c r="P23" s="90"/>
      <c r="Q23" s="92"/>
      <c r="R23" s="93"/>
      <c r="S23" s="94"/>
      <c r="T23" s="95"/>
      <c r="U23" s="86"/>
      <c r="V23" s="18"/>
      <c r="W23" s="21"/>
      <c r="X23" s="64"/>
      <c r="Y23" s="63"/>
      <c r="Z23" s="63"/>
      <c r="AA23" s="64"/>
      <c r="AB23" s="63"/>
      <c r="AC23" s="63"/>
      <c r="AD23" s="64"/>
      <c r="AE23" s="63"/>
      <c r="AF23" s="63"/>
      <c r="AG23" s="64"/>
      <c r="AH23" s="63"/>
      <c r="AI23" s="63"/>
    </row>
    <row r="24" spans="1:35" ht="13" customHeight="1" thickBot="1">
      <c r="B24" s="9" t="s">
        <v>43</v>
      </c>
      <c r="C24" s="107">
        <v>0.5</v>
      </c>
      <c r="D24" s="10" t="s">
        <v>38</v>
      </c>
      <c r="F24" s="76">
        <f>F22+1</f>
        <v>22</v>
      </c>
      <c r="G24" s="35"/>
      <c r="H24" s="35">
        <f t="shared" si="0"/>
        <v>9.899541366642306E-2</v>
      </c>
      <c r="I24" s="77">
        <f t="shared" si="1"/>
        <v>8.8737768933370986E-2</v>
      </c>
      <c r="J24" s="78"/>
      <c r="K24" s="77">
        <f t="shared" si="2"/>
        <v>1.5748783270544682</v>
      </c>
      <c r="L24" s="79">
        <f t="shared" si="3"/>
        <v>709.73908562347526</v>
      </c>
      <c r="M24" s="80">
        <f t="shared" si="4"/>
        <v>89.330303048571182</v>
      </c>
      <c r="N24" s="81">
        <f t="shared" si="5"/>
        <v>-1.6662051116209664E-3</v>
      </c>
      <c r="O24" s="81">
        <f t="shared" si="6"/>
        <v>-7.5736595982771196E-3</v>
      </c>
      <c r="P24" s="80">
        <f t="shared" si="7"/>
        <v>0</v>
      </c>
      <c r="Q24" s="82" t="str">
        <f t="shared" si="12"/>
        <v>0.0</v>
      </c>
      <c r="R24" s="42" t="str">
        <f t="shared" si="13"/>
        <v>on</v>
      </c>
      <c r="S24" s="83">
        <f t="shared" si="8"/>
        <v>9.3938211728374075</v>
      </c>
      <c r="T24" s="84">
        <f t="shared" si="9"/>
        <v>0.36</v>
      </c>
      <c r="U24" s="11">
        <f t="shared" si="10"/>
        <v>1.6363636363636362</v>
      </c>
      <c r="V24" s="18">
        <f t="shared" si="11"/>
        <v>22</v>
      </c>
      <c r="W24" s="21"/>
      <c r="X24" s="65"/>
      <c r="Y24" s="24"/>
      <c r="Z24" s="25"/>
      <c r="AA24" s="17"/>
      <c r="AB24" s="24"/>
      <c r="AC24" s="25"/>
      <c r="AD24" s="17"/>
      <c r="AE24" s="24"/>
      <c r="AF24" s="25"/>
      <c r="AG24" s="17"/>
      <c r="AH24" s="24"/>
      <c r="AI24" s="62"/>
    </row>
    <row r="25" spans="1:35" ht="13" hidden="1" customHeight="1" thickBot="1">
      <c r="B25" s="9"/>
      <c r="C25" s="105"/>
      <c r="D25" s="108"/>
      <c r="F25" s="53"/>
      <c r="G25" s="54">
        <f>-0.1*LN(VRF)</f>
        <v>4.2907501011276552E-3</v>
      </c>
      <c r="H25" s="54">
        <f>EXP(G25*Zero_Distance)-1</f>
        <v>0.11323339856999248</v>
      </c>
      <c r="I25" s="54">
        <f>H25*3/(G25*Muzzle_Velocity)</f>
        <v>0.10150045124012011</v>
      </c>
      <c r="J25" s="54">
        <f>Traj._Coefficient*I25^2</f>
        <v>2.0604683203895999</v>
      </c>
      <c r="K25" s="54"/>
      <c r="L25" s="55"/>
      <c r="M25" s="55"/>
      <c r="N25" s="55"/>
      <c r="O25" s="55"/>
      <c r="P25" s="55"/>
      <c r="Q25" s="41"/>
      <c r="R25" s="42" t="str">
        <f t="shared" si="13"/>
        <v>on</v>
      </c>
      <c r="S25" s="54"/>
      <c r="T25" s="54"/>
      <c r="V25" s="8"/>
      <c r="W25" s="31"/>
      <c r="X25" s="6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</row>
    <row r="26" spans="1:35" ht="13" customHeight="1" thickBot="1">
      <c r="B26" s="6" t="s">
        <v>33</v>
      </c>
      <c r="C26" s="160">
        <v>0.95799999999999996</v>
      </c>
      <c r="D26" s="161"/>
      <c r="F26" s="45">
        <f>F24+1</f>
        <v>23</v>
      </c>
      <c r="G26" s="35"/>
      <c r="H26" s="35">
        <f t="shared" ref="H26:H66" si="30">EXP(X*F26)-1</f>
        <v>0.10372105938102782</v>
      </c>
      <c r="I26" s="36">
        <f t="shared" ref="I26:I35" si="31">H26*3/(X*Muzzle_Velocity)</f>
        <v>9.2973755651872922E-2</v>
      </c>
      <c r="J26" s="37"/>
      <c r="K26" s="36">
        <f t="shared" ref="K26:K66" si="32">Traj._Coefficient*I26^2</f>
        <v>1.7288238480028344</v>
      </c>
      <c r="L26" s="38">
        <f t="shared" ref="L26:L35" si="33">Muzzle_Velocity*EXP(-(X*F26))</f>
        <v>706.70029657441512</v>
      </c>
      <c r="M26" s="39">
        <f t="shared" ref="M26:M66" si="34">F26*(Scope_Height+A)</f>
        <v>93.390771368960785</v>
      </c>
      <c r="N26" s="40">
        <f t="shared" ref="N26:N66" si="35">M26/Zero_Distance-Scope_Height-K26</f>
        <v>6.8070067555972003E-3</v>
      </c>
      <c r="O26" s="40">
        <f t="shared" ref="O26:O66" si="36">(N26/F26)*(100/MOA_Factor)</f>
        <v>2.9595681546074785E-2</v>
      </c>
      <c r="P26" s="39">
        <f t="shared" ref="P26:P66" si="37">ROUND((O26/Click_Value)*-1,0)</f>
        <v>0</v>
      </c>
      <c r="Q26" s="41" t="str">
        <f t="shared" si="12"/>
        <v>0.0</v>
      </c>
      <c r="R26" s="42">
        <f t="shared" si="13"/>
        <v>6.8070067555972003E-3</v>
      </c>
      <c r="S26" s="43">
        <f t="shared" ref="S26:S35" si="38">L26^2*Weight/Denominator</f>
        <v>9.3135529978156271</v>
      </c>
      <c r="T26" s="44">
        <f t="shared" ref="T26:T35" si="39">ROUND(SIN(90*(3.1415927/180))*17.6*Wind_Speed*(I26-((F26*3)/Muzzle_Velocity)),2)</f>
        <v>0.4</v>
      </c>
      <c r="U26" s="11">
        <f t="shared" ref="U26:U35" si="40">(T26/F26)*(100/MOA_Factor)</f>
        <v>1.7391304347826086</v>
      </c>
      <c r="V26" s="18">
        <f t="shared" ref="V26:V35" si="41">F26</f>
        <v>23</v>
      </c>
      <c r="X26" s="143" t="s">
        <v>0</v>
      </c>
      <c r="Y26" s="144"/>
      <c r="Z26" s="26" t="str">
        <f>C2 &amp; " " &amp; C3</f>
        <v>Shooter Name</v>
      </c>
      <c r="AA26" s="26"/>
      <c r="AB26" s="26"/>
      <c r="AC26" s="26"/>
      <c r="AD26" s="26"/>
      <c r="AE26" s="26"/>
      <c r="AF26" s="26"/>
      <c r="AG26" s="26"/>
      <c r="AH26" s="26"/>
      <c r="AI26" s="27"/>
    </row>
    <row r="27" spans="1:35" ht="13" customHeight="1" thickBot="1">
      <c r="B27" s="6" t="s">
        <v>40</v>
      </c>
      <c r="C27" s="104">
        <v>780</v>
      </c>
      <c r="D27" s="110" t="str">
        <f>"fps for " &amp; ROUND(Muzzle_Velocity^2*Weight/Denominator,2) &amp; "fpe"</f>
        <v>fps for 11.35fpe</v>
      </c>
      <c r="F27" s="45">
        <f t="shared" ref="F27:F63" si="42">F26+1</f>
        <v>24</v>
      </c>
      <c r="G27" s="35"/>
      <c r="H27" s="35">
        <f t="shared" si="30"/>
        <v>0.10846702522358065</v>
      </c>
      <c r="I27" s="36">
        <f t="shared" si="31"/>
        <v>9.7227956980039776E-2</v>
      </c>
      <c r="J27" s="37"/>
      <c r="K27" s="36">
        <f t="shared" si="32"/>
        <v>1.8906551237024931</v>
      </c>
      <c r="L27" s="38">
        <f t="shared" si="33"/>
        <v>703.67451827687159</v>
      </c>
      <c r="M27" s="39">
        <f t="shared" si="34"/>
        <v>97.451239689350388</v>
      </c>
      <c r="N27" s="40">
        <f t="shared" si="35"/>
        <v>7.3944638715224276E-3</v>
      </c>
      <c r="O27" s="40">
        <f t="shared" si="36"/>
        <v>3.0810266131343449E-2</v>
      </c>
      <c r="P27" s="39">
        <f t="shared" si="37"/>
        <v>0</v>
      </c>
      <c r="Q27" s="41" t="str">
        <f t="shared" si="12"/>
        <v>0.0</v>
      </c>
      <c r="R27" s="42">
        <f t="shared" si="13"/>
        <v>7.3944638715224276E-3</v>
      </c>
      <c r="S27" s="43">
        <f t="shared" si="38"/>
        <v>9.2339706970299833</v>
      </c>
      <c r="T27" s="44">
        <f t="shared" si="39"/>
        <v>0.43</v>
      </c>
      <c r="U27" s="11">
        <f t="shared" si="40"/>
        <v>1.7916666666666667</v>
      </c>
      <c r="V27" s="18">
        <f t="shared" si="41"/>
        <v>24</v>
      </c>
      <c r="W27" s="21"/>
      <c r="X27" s="143" t="s">
        <v>70</v>
      </c>
      <c r="Y27" s="144"/>
      <c r="Z27" s="26" t="str">
        <f>C5 &amp; " " &amp; C6</f>
        <v>Air Rifle</v>
      </c>
      <c r="AA27" s="26"/>
      <c r="AB27" s="26"/>
      <c r="AC27" s="26"/>
      <c r="AD27" s="26"/>
      <c r="AE27" s="26"/>
      <c r="AF27" s="26"/>
      <c r="AG27" s="26"/>
      <c r="AH27" s="26"/>
      <c r="AI27" s="27"/>
    </row>
    <row r="28" spans="1:35" ht="13" customHeight="1">
      <c r="A28" s="32" t="s">
        <v>55</v>
      </c>
      <c r="B28" s="6"/>
      <c r="F28" s="45">
        <f t="shared" si="42"/>
        <v>25</v>
      </c>
      <c r="G28" s="35"/>
      <c r="H28" s="35">
        <f t="shared" si="30"/>
        <v>0.11323339856999248</v>
      </c>
      <c r="I28" s="36">
        <f t="shared" si="31"/>
        <v>0.10150045124012011</v>
      </c>
      <c r="J28" s="37"/>
      <c r="K28" s="36">
        <f t="shared" si="32"/>
        <v>2.0604683203895999</v>
      </c>
      <c r="L28" s="46">
        <f t="shared" si="33"/>
        <v>700.66169502455773</v>
      </c>
      <c r="M28" s="47">
        <f t="shared" si="34"/>
        <v>101.51170800973999</v>
      </c>
      <c r="N28" s="48">
        <f t="shared" si="35"/>
        <v>0</v>
      </c>
      <c r="O28" s="48">
        <f t="shared" si="36"/>
        <v>0</v>
      </c>
      <c r="P28" s="47">
        <f t="shared" si="37"/>
        <v>0</v>
      </c>
      <c r="Q28" s="49" t="str">
        <f t="shared" si="12"/>
        <v>0.0</v>
      </c>
      <c r="R28" s="50" t="str">
        <f t="shared" si="13"/>
        <v>on</v>
      </c>
      <c r="S28" s="51">
        <f t="shared" si="38"/>
        <v>9.1550684098331203</v>
      </c>
      <c r="T28" s="52">
        <f t="shared" si="39"/>
        <v>0.47</v>
      </c>
      <c r="U28" s="23">
        <f t="shared" si="40"/>
        <v>1.8799999999999997</v>
      </c>
      <c r="V28" s="18">
        <f t="shared" si="41"/>
        <v>25</v>
      </c>
      <c r="W28" s="14" t="str">
        <f>IF(B38="","",-A38*((B38*Click_Value)/(100/MOA_Factor)))</f>
        <v/>
      </c>
      <c r="X28" s="143" t="s">
        <v>7</v>
      </c>
      <c r="Y28" s="144"/>
      <c r="Z28" s="26" t="str">
        <f>C8 &amp; " " &amp; C9 &amp; ", " &amp; Weight &amp; "gr., " &amp; "Die # " &amp; C12</f>
        <v>JSB Exact, 8.4gr., Die # 4.52</v>
      </c>
      <c r="AA28" s="26"/>
      <c r="AB28" s="26"/>
      <c r="AC28" s="26"/>
      <c r="AD28" s="26"/>
      <c r="AE28" s="26"/>
      <c r="AF28" s="26"/>
      <c r="AG28" s="26"/>
      <c r="AH28" s="26"/>
      <c r="AI28" s="27"/>
    </row>
    <row r="29" spans="1:35" ht="13" customHeight="1">
      <c r="A29" s="1"/>
      <c r="B29" s="6" t="s">
        <v>15</v>
      </c>
      <c r="C29" s="158">
        <v>32.174100000000003</v>
      </c>
      <c r="D29" s="157"/>
      <c r="F29" s="45">
        <f t="shared" si="42"/>
        <v>26</v>
      </c>
      <c r="G29" s="35"/>
      <c r="H29" s="35">
        <f t="shared" si="30"/>
        <v>0.11802026717188818</v>
      </c>
      <c r="I29" s="36">
        <f t="shared" si="31"/>
        <v>0.10579131709114593</v>
      </c>
      <c r="J29" s="37"/>
      <c r="K29" s="36">
        <f t="shared" si="32"/>
        <v>2.2383605543758773</v>
      </c>
      <c r="L29" s="38">
        <f t="shared" si="33"/>
        <v>697.6617713496961</v>
      </c>
      <c r="M29" s="39">
        <f t="shared" si="34"/>
        <v>105.57217633012959</v>
      </c>
      <c r="N29" s="40">
        <f t="shared" si="35"/>
        <v>-1.5473501170693904E-2</v>
      </c>
      <c r="O29" s="40">
        <f t="shared" si="36"/>
        <v>-5.9513466041130399E-2</v>
      </c>
      <c r="P29" s="39">
        <f t="shared" si="37"/>
        <v>0</v>
      </c>
      <c r="Q29" s="41" t="str">
        <f t="shared" si="12"/>
        <v>0.0</v>
      </c>
      <c r="R29" s="42" t="str">
        <f t="shared" si="13"/>
        <v>on</v>
      </c>
      <c r="S29" s="43">
        <f t="shared" si="38"/>
        <v>9.0768403256556489</v>
      </c>
      <c r="T29" s="44">
        <f t="shared" si="39"/>
        <v>0.51</v>
      </c>
      <c r="U29" s="11">
        <f t="shared" si="40"/>
        <v>1.9615384615384615</v>
      </c>
      <c r="V29" s="18">
        <f t="shared" si="41"/>
        <v>26</v>
      </c>
      <c r="W29" s="21"/>
      <c r="X29" s="143" t="s">
        <v>8</v>
      </c>
      <c r="Y29" s="144"/>
      <c r="Z29" s="26" t="str">
        <f>C14 &amp; " " &amp; C15</f>
        <v>Rifle Scope</v>
      </c>
      <c r="AA29" s="26"/>
      <c r="AB29" s="26"/>
      <c r="AC29" s="26"/>
      <c r="AD29" s="26"/>
      <c r="AE29" s="26"/>
      <c r="AF29" s="26"/>
      <c r="AG29" s="26"/>
      <c r="AH29" s="26"/>
      <c r="AI29" s="27"/>
    </row>
    <row r="30" spans="1:35" ht="13" customHeight="1">
      <c r="A30" s="1"/>
      <c r="B30" s="6" t="s">
        <v>16</v>
      </c>
      <c r="C30" s="158">
        <v>450437.4</v>
      </c>
      <c r="D30" s="157"/>
      <c r="F30" s="45">
        <f t="shared" si="42"/>
        <v>27</v>
      </c>
      <c r="G30" s="35"/>
      <c r="H30" s="35">
        <f t="shared" si="30"/>
        <v>0.12282771915822188</v>
      </c>
      <c r="I30" s="36">
        <f t="shared" si="31"/>
        <v>0.11010063353038062</v>
      </c>
      <c r="J30" s="37"/>
      <c r="K30" s="36">
        <f t="shared" si="32"/>
        <v>2.4244299007582346</v>
      </c>
      <c r="L30" s="38">
        <f t="shared" si="33"/>
        <v>694.67469202199788</v>
      </c>
      <c r="M30" s="39">
        <f t="shared" si="34"/>
        <v>109.63264465051918</v>
      </c>
      <c r="N30" s="40">
        <f t="shared" si="35"/>
        <v>-3.9124114737467242E-2</v>
      </c>
      <c r="O30" s="40">
        <f t="shared" si="36"/>
        <v>-0.14490412865728608</v>
      </c>
      <c r="P30" s="39">
        <f t="shared" si="37"/>
        <v>1</v>
      </c>
      <c r="Q30" s="41" t="str">
        <f t="shared" si="12"/>
        <v>0.1</v>
      </c>
      <c r="R30" s="42" t="str">
        <f t="shared" si="13"/>
        <v>on</v>
      </c>
      <c r="S30" s="43">
        <f t="shared" si="38"/>
        <v>8.9992806835782364</v>
      </c>
      <c r="T30" s="44">
        <f t="shared" si="39"/>
        <v>0.55000000000000004</v>
      </c>
      <c r="U30" s="11">
        <f t="shared" si="40"/>
        <v>2.0370370370370372</v>
      </c>
      <c r="V30" s="18">
        <f t="shared" si="41"/>
        <v>27</v>
      </c>
      <c r="W30" s="21"/>
      <c r="X30" s="143" t="s">
        <v>10</v>
      </c>
      <c r="Y30" s="144"/>
      <c r="Z30" s="26" t="str">
        <f>Clicks_per_Revolution</f>
        <v>BKL Double Strap 30mm</v>
      </c>
      <c r="AA30" s="26"/>
      <c r="AB30" s="26"/>
      <c r="AC30" s="26"/>
      <c r="AD30" s="26"/>
      <c r="AE30" s="26"/>
      <c r="AF30" s="26"/>
      <c r="AG30" s="26"/>
      <c r="AH30" s="26"/>
      <c r="AI30" s="27"/>
    </row>
    <row r="31" spans="1:35" ht="13" customHeight="1">
      <c r="A31" s="1"/>
      <c r="B31" s="6" t="s">
        <v>14</v>
      </c>
      <c r="C31" s="158">
        <v>200</v>
      </c>
      <c r="D31" s="157"/>
      <c r="F31" s="45">
        <f t="shared" si="42"/>
        <v>28</v>
      </c>
      <c r="G31" s="35"/>
      <c r="H31" s="35">
        <f t="shared" si="30"/>
        <v>0.12765584303689903</v>
      </c>
      <c r="I31" s="36">
        <f t="shared" si="31"/>
        <v>0.11442847989477295</v>
      </c>
      <c r="J31" s="37"/>
      <c r="K31" s="36">
        <f t="shared" si="32"/>
        <v>2.6187754022056917</v>
      </c>
      <c r="L31" s="38">
        <f t="shared" si="33"/>
        <v>691.70040204764587</v>
      </c>
      <c r="M31" s="39">
        <f t="shared" si="34"/>
        <v>113.69311297090879</v>
      </c>
      <c r="N31" s="40">
        <f t="shared" si="35"/>
        <v>-7.1050883369340401E-2</v>
      </c>
      <c r="O31" s="40">
        <f t="shared" si="36"/>
        <v>-0.25375315489050143</v>
      </c>
      <c r="P31" s="39">
        <f t="shared" si="37"/>
        <v>2</v>
      </c>
      <c r="Q31" s="41" t="str">
        <f t="shared" si="12"/>
        <v>0.2</v>
      </c>
      <c r="R31" s="42" t="str">
        <f t="shared" si="13"/>
        <v>on</v>
      </c>
      <c r="S31" s="43">
        <f t="shared" si="38"/>
        <v>8.9223837719073718</v>
      </c>
      <c r="T31" s="44">
        <f t="shared" si="39"/>
        <v>0.59</v>
      </c>
      <c r="U31" s="11">
        <f t="shared" si="40"/>
        <v>2.1071428571428572</v>
      </c>
      <c r="V31" s="18">
        <f t="shared" si="41"/>
        <v>28</v>
      </c>
      <c r="X31" s="143" t="s">
        <v>11</v>
      </c>
      <c r="Y31" s="144"/>
      <c r="Z31" s="144"/>
      <c r="AA31" s="145" t="str">
        <f>Scope_Height &amp; """"</f>
        <v>2"</v>
      </c>
      <c r="AB31" s="145"/>
      <c r="AC31" s="152" t="s">
        <v>9</v>
      </c>
      <c r="AD31" s="152"/>
      <c r="AE31" s="152"/>
      <c r="AF31" s="145">
        <f>Click_Value</f>
        <v>0.14285714285714285</v>
      </c>
      <c r="AG31" s="145"/>
      <c r="AH31" s="145"/>
      <c r="AI31" s="149"/>
    </row>
    <row r="32" spans="1:35" ht="13" customHeight="1">
      <c r="B32" s="9" t="s">
        <v>25</v>
      </c>
      <c r="C32" s="158">
        <v>1</v>
      </c>
      <c r="D32" s="157"/>
      <c r="E32" s="12"/>
      <c r="F32" s="45">
        <f t="shared" si="42"/>
        <v>29</v>
      </c>
      <c r="G32" s="35"/>
      <c r="H32" s="35">
        <f t="shared" si="30"/>
        <v>0.13250472769640664</v>
      </c>
      <c r="I32" s="36">
        <f t="shared" si="31"/>
        <v>0.1187749358624184</v>
      </c>
      <c r="J32" s="37"/>
      <c r="K32" s="36">
        <f t="shared" si="32"/>
        <v>2.8214970778243207</v>
      </c>
      <c r="L32" s="38">
        <f t="shared" si="33"/>
        <v>688.73884666828212</v>
      </c>
      <c r="M32" s="39">
        <f t="shared" si="34"/>
        <v>117.75358129129839</v>
      </c>
      <c r="N32" s="40">
        <f t="shared" si="35"/>
        <v>-0.11135382617238543</v>
      </c>
      <c r="O32" s="40">
        <f t="shared" si="36"/>
        <v>-0.38397871093926006</v>
      </c>
      <c r="P32" s="39">
        <f t="shared" si="37"/>
        <v>3</v>
      </c>
      <c r="Q32" s="41" t="str">
        <f t="shared" si="12"/>
        <v>0.3</v>
      </c>
      <c r="R32" s="42" t="str">
        <f t="shared" si="13"/>
        <v>on</v>
      </c>
      <c r="S32" s="43">
        <f t="shared" si="38"/>
        <v>8.8461439277547242</v>
      </c>
      <c r="T32" s="44">
        <f t="shared" si="39"/>
        <v>0.64</v>
      </c>
      <c r="U32" s="11">
        <f t="shared" si="40"/>
        <v>2.2068965517241379</v>
      </c>
      <c r="V32" s="18">
        <f t="shared" si="41"/>
        <v>29</v>
      </c>
      <c r="W32" s="21"/>
      <c r="X32" s="143" t="s">
        <v>12</v>
      </c>
      <c r="Y32" s="144"/>
      <c r="Z32" s="144"/>
      <c r="AA32" s="145">
        <f>VRF</f>
        <v>0.95799999999999996</v>
      </c>
      <c r="AB32" s="145"/>
      <c r="AC32" s="152" t="s">
        <v>48</v>
      </c>
      <c r="AD32" s="152"/>
      <c r="AE32" s="152"/>
      <c r="AF32" s="145" t="str">
        <f>Muzzle_Velocity&amp;"fps for "&amp;ROUND(Muzzle_Velocity^2*Weight/Denominator,2)&amp;"fpe"</f>
        <v>780fps for 11.35fpe</v>
      </c>
      <c r="AG32" s="145"/>
      <c r="AH32" s="145"/>
      <c r="AI32" s="149"/>
    </row>
    <row r="33" spans="1:35" ht="13" customHeight="1">
      <c r="B33" s="6" t="s">
        <v>75</v>
      </c>
      <c r="C33" s="109">
        <v>5</v>
      </c>
      <c r="D33" s="10" t="s">
        <v>41</v>
      </c>
      <c r="F33" s="45">
        <f t="shared" si="42"/>
        <v>30</v>
      </c>
      <c r="G33" s="35"/>
      <c r="H33" s="35">
        <f t="shared" si="30"/>
        <v>0.13737446240744933</v>
      </c>
      <c r="I33" s="36">
        <f t="shared" si="31"/>
        <v>0.12314008145402563</v>
      </c>
      <c r="J33" s="37"/>
      <c r="K33" s="36">
        <f t="shared" si="32"/>
        <v>3.0326959321008138</v>
      </c>
      <c r="L33" s="46">
        <f t="shared" si="33"/>
        <v>685.78997135999987</v>
      </c>
      <c r="M33" s="47">
        <f t="shared" si="34"/>
        <v>121.81404961168798</v>
      </c>
      <c r="N33" s="48">
        <f t="shared" si="35"/>
        <v>-0.16013394763329458</v>
      </c>
      <c r="O33" s="48">
        <f t="shared" si="36"/>
        <v>-0.53377982544431524</v>
      </c>
      <c r="P33" s="47">
        <f t="shared" si="37"/>
        <v>4</v>
      </c>
      <c r="Q33" s="49" t="str">
        <f t="shared" si="12"/>
        <v>0.4</v>
      </c>
      <c r="R33" s="50" t="str">
        <f t="shared" si="13"/>
        <v>on</v>
      </c>
      <c r="S33" s="51">
        <f t="shared" si="38"/>
        <v>8.7705555366201278</v>
      </c>
      <c r="T33" s="52">
        <f t="shared" si="39"/>
        <v>0.68</v>
      </c>
      <c r="U33" s="23">
        <f t="shared" si="40"/>
        <v>2.2666666666666666</v>
      </c>
      <c r="V33" s="18">
        <f t="shared" si="41"/>
        <v>30</v>
      </c>
      <c r="W33" s="14" t="str">
        <f>IF(B39="","",-A39*((B39*Click_Value)/(100/MOA_Factor)))</f>
        <v/>
      </c>
      <c r="X33" s="143" t="s">
        <v>13</v>
      </c>
      <c r="Y33" s="144"/>
      <c r="Z33" s="144"/>
      <c r="AA33" s="145" t="str">
        <f>Zero_Distance &amp; " yards"</f>
        <v>25 yards</v>
      </c>
      <c r="AB33" s="145"/>
      <c r="AC33" s="152" t="s">
        <v>51</v>
      </c>
      <c r="AD33" s="152"/>
      <c r="AE33" s="152"/>
      <c r="AF33" s="145" t="str">
        <f>Best_Hold_Minimum &amp; """"</f>
        <v>0.5"</v>
      </c>
      <c r="AG33" s="145"/>
      <c r="AH33" s="145"/>
      <c r="AI33" s="149"/>
    </row>
    <row r="34" spans="1:35" ht="13" customHeight="1">
      <c r="A34" s="32" t="s">
        <v>56</v>
      </c>
      <c r="F34" s="45">
        <f t="shared" si="42"/>
        <v>31</v>
      </c>
      <c r="G34" s="35"/>
      <c r="H34" s="35">
        <f t="shared" si="30"/>
        <v>0.14226513682459307</v>
      </c>
      <c r="I34" s="36">
        <f t="shared" si="31"/>
        <v>0.12752399703439005</v>
      </c>
      <c r="J34" s="37"/>
      <c r="K34" s="36">
        <f t="shared" si="32"/>
        <v>3.2524739639254245</v>
      </c>
      <c r="L34" s="38">
        <f t="shared" si="33"/>
        <v>682.85372183233949</v>
      </c>
      <c r="M34" s="39">
        <f t="shared" si="34"/>
        <v>125.87451793207758</v>
      </c>
      <c r="N34" s="40">
        <f t="shared" si="35"/>
        <v>-0.21749324664232139</v>
      </c>
      <c r="O34" s="40">
        <f t="shared" si="36"/>
        <v>-0.7015911182010367</v>
      </c>
      <c r="P34" s="39">
        <f t="shared" si="37"/>
        <v>5</v>
      </c>
      <c r="Q34" s="41" t="str">
        <f t="shared" si="12"/>
        <v>0.5</v>
      </c>
      <c r="R34" s="42" t="str">
        <f t="shared" si="13"/>
        <v>Zero</v>
      </c>
      <c r="S34" s="43">
        <f t="shared" si="38"/>
        <v>8.6956130319781071</v>
      </c>
      <c r="T34" s="44">
        <f t="shared" si="39"/>
        <v>0.73</v>
      </c>
      <c r="U34" s="11">
        <f t="shared" si="40"/>
        <v>2.3548387096774195</v>
      </c>
      <c r="V34" s="18">
        <f t="shared" si="41"/>
        <v>31</v>
      </c>
      <c r="W34" s="21"/>
      <c r="X34" s="143" t="s">
        <v>15</v>
      </c>
      <c r="Y34" s="144"/>
      <c r="Z34" s="144"/>
      <c r="AA34" s="145">
        <f>Gravitational</f>
        <v>32.174100000000003</v>
      </c>
      <c r="AB34" s="145"/>
      <c r="AC34" s="152" t="s">
        <v>39</v>
      </c>
      <c r="AD34" s="152"/>
      <c r="AE34" s="152"/>
      <c r="AF34" s="152"/>
      <c r="AG34" s="152"/>
      <c r="AH34" s="152"/>
      <c r="AI34" s="153"/>
    </row>
    <row r="35" spans="1:35" ht="13" customHeight="1">
      <c r="A35" s="9">
        <v>10</v>
      </c>
      <c r="B35" s="119"/>
      <c r="C35" s="2" t="str">
        <f>IF(B35&lt;0, "- "&amp;TRUNC(ABS(B35)/Turret_Subdivisions,0) &amp; "." &amp; MOD(ABS(B35),Turret_Subdivisions),IF(B35&gt;=Turret_Max,TRUNC(B35/Turret_Max,0)&amp;"+"&amp;TRUNC((B35-(TRUNC(B35/Turret_Max,0)*Turret_Max))/Turret_Subdivisions,0) &amp; "." &amp; MOD((B35-(TRUNC(B35/Turret_Max,0)*Turret_Max)),Turret_Subdivisions),TRUNC(B35/Turret_Subdivisions,0) &amp; "." &amp; MOD(B35,Turret_Subdivisions))) &amp; " vs. " &amp; Q6 &amp; " clicks"</f>
        <v>0.0 vs. 6.0 clicks</v>
      </c>
      <c r="F35" s="45">
        <f t="shared" si="42"/>
        <v>32</v>
      </c>
      <c r="G35" s="35"/>
      <c r="H35" s="35">
        <f t="shared" si="30"/>
        <v>0.1471768409879155</v>
      </c>
      <c r="I35" s="36">
        <f t="shared" si="31"/>
        <v>0.13192676331387287</v>
      </c>
      <c r="J35" s="37"/>
      <c r="K35" s="36">
        <f t="shared" si="32"/>
        <v>3.4809341756949266</v>
      </c>
      <c r="L35" s="38">
        <f t="shared" si="33"/>
        <v>679.93004402728923</v>
      </c>
      <c r="M35" s="39">
        <f t="shared" si="34"/>
        <v>129.93498625246718</v>
      </c>
      <c r="N35" s="40">
        <f t="shared" si="35"/>
        <v>-0.28353472559623949</v>
      </c>
      <c r="O35" s="40">
        <f t="shared" si="36"/>
        <v>-0.88604601748824841</v>
      </c>
      <c r="P35" s="39">
        <f t="shared" si="37"/>
        <v>6</v>
      </c>
      <c r="Q35" s="41" t="str">
        <f t="shared" si="12"/>
        <v>0.6</v>
      </c>
      <c r="R35" s="42" t="str">
        <f t="shared" si="13"/>
        <v>on</v>
      </c>
      <c r="S35" s="43">
        <f t="shared" si="38"/>
        <v>8.621310894867948</v>
      </c>
      <c r="T35" s="44">
        <f t="shared" si="39"/>
        <v>0.78</v>
      </c>
      <c r="U35" s="11">
        <f t="shared" si="40"/>
        <v>2.4375</v>
      </c>
      <c r="V35" s="18">
        <f t="shared" si="41"/>
        <v>32</v>
      </c>
      <c r="W35" s="21"/>
      <c r="X35" s="143" t="s">
        <v>16</v>
      </c>
      <c r="Y35" s="144"/>
      <c r="Z35" s="144"/>
      <c r="AA35" s="145">
        <f>Denominator</f>
        <v>450437.4</v>
      </c>
      <c r="AB35" s="145"/>
      <c r="AC35" s="137" t="str">
        <f>"65 = "&amp;Q64&amp;" Clicks"</f>
        <v>65 = 1+3.3 Clicks</v>
      </c>
      <c r="AD35" s="138"/>
      <c r="AE35" s="138"/>
      <c r="AF35" s="138"/>
      <c r="AG35" s="138"/>
      <c r="AH35" s="138"/>
      <c r="AI35" s="139"/>
    </row>
    <row r="36" spans="1:35" ht="13" customHeight="1">
      <c r="A36" s="9">
        <v>15</v>
      </c>
      <c r="B36" s="119"/>
      <c r="C36" s="2" t="str">
        <f>IF(B36&lt;0, "- "&amp;TRUNC(ABS(B36)/Turret_Subdivisions,0) &amp; "." &amp; MOD(ABS(B36),Turret_Subdivisions),IF(B36&gt;=Turret_Max,TRUNC(B36/Turret_Max,0)&amp;"+"&amp;TRUNC((B36-(TRUNC(B36/Turret_Max,0)*Turret_Max))/Turret_Subdivisions,0) &amp; "." &amp; MOD((B36-(TRUNC(B36/Turret_Max,0)*Turret_Max)),Turret_Subdivisions),TRUNC(B36/Turret_Subdivisions,0) &amp; "." &amp; MOD(B36,Turret_Subdivisions))) &amp; " vs. " &amp; Q16 &amp; " clicks"</f>
        <v>0.0 vs. 1.5 clicks</v>
      </c>
      <c r="F36" s="45">
        <f t="shared" si="42"/>
        <v>33</v>
      </c>
      <c r="G36" s="35"/>
      <c r="H36" s="35">
        <f t="shared" si="30"/>
        <v>0.15210966532466363</v>
      </c>
      <c r="I36" s="36">
        <f t="shared" ref="I36:I66" si="43">H36*3/(X*Muzzle_Velocity)</f>
        <v>0.13634846134988735</v>
      </c>
      <c r="J36" s="37"/>
      <c r="K36" s="36">
        <f t="shared" si="32"/>
        <v>3.7181805824963443</v>
      </c>
      <c r="L36" s="38">
        <f t="shared" ref="L36:L66" si="44">Muzzle_Velocity*EXP(-(X*F36))</f>
        <v>677.01888411828963</v>
      </c>
      <c r="M36" s="39">
        <f t="shared" si="34"/>
        <v>133.99545457285677</v>
      </c>
      <c r="N36" s="40">
        <f t="shared" si="35"/>
        <v>-0.35836239958207328</v>
      </c>
      <c r="O36" s="40">
        <f t="shared" si="36"/>
        <v>-1.0859466654002221</v>
      </c>
      <c r="P36" s="39">
        <f t="shared" si="37"/>
        <v>8</v>
      </c>
      <c r="Q36" s="41" t="str">
        <f t="shared" si="12"/>
        <v>1.0</v>
      </c>
      <c r="R36" s="42" t="str">
        <f t="shared" si="13"/>
        <v>on</v>
      </c>
      <c r="S36" s="43">
        <f t="shared" ref="S36:S66" si="45">L36^2*Weight/Denominator</f>
        <v>8.5476436534872597</v>
      </c>
      <c r="T36" s="44">
        <f t="shared" ref="T36:T66" si="46">ROUND(SIN(90*(3.1415927/180))*17.6*Wind_Speed*(I36-((F36*3)/Muzzle_Velocity)),2)</f>
        <v>0.83</v>
      </c>
      <c r="U36" s="11">
        <f t="shared" ref="U36:U66" si="47">(T36/F36)*(100/MOA_Factor)</f>
        <v>2.5151515151515151</v>
      </c>
      <c r="V36" s="18">
        <f t="shared" ref="V36:V66" si="48">F36</f>
        <v>33</v>
      </c>
      <c r="X36" s="143" t="s">
        <v>30</v>
      </c>
      <c r="Y36" s="144"/>
      <c r="Z36" s="144"/>
      <c r="AA36" s="145">
        <f>Traj._Coefficient</f>
        <v>200</v>
      </c>
      <c r="AB36" s="145"/>
      <c r="AC36" s="140" t="str">
        <f>"70 = "&amp;Q65&amp;" Clicks"</f>
        <v>70 = 1+5.4 Clicks</v>
      </c>
      <c r="AD36" s="141"/>
      <c r="AE36" s="141"/>
      <c r="AF36" s="141"/>
      <c r="AG36" s="141"/>
      <c r="AH36" s="141"/>
      <c r="AI36" s="142"/>
    </row>
    <row r="37" spans="1:35" ht="13" customHeight="1">
      <c r="A37" s="9">
        <v>20</v>
      </c>
      <c r="B37" s="119"/>
      <c r="C37" s="2" t="str">
        <f>IF(B37&lt;0, "- "&amp;TRUNC(ABS(B37)/Turret_Subdivisions,0) &amp; "." &amp; MOD(ABS(B37),Turret_Subdivisions),IF(B37&gt;=Turret_Max,TRUNC(B37/Turret_Max,0)&amp;"+"&amp;TRUNC((B37-(TRUNC(B37/Turret_Max,0)*Turret_Max))/Turret_Subdivisions,0) &amp; "." &amp; MOD((B37-(TRUNC(B37/Turret_Max,0)*Turret_Max)),Turret_Subdivisions),TRUNC(B37/Turret_Subdivisions,0) &amp; "." &amp; MOD(B37,Turret_Subdivisions))) &amp; " vs. " &amp; Q21 &amp; " clicks"</f>
        <v>0.0 vs. 0.1 clicks</v>
      </c>
      <c r="F37" s="45">
        <f t="shared" si="42"/>
        <v>34</v>
      </c>
      <c r="G37" s="35"/>
      <c r="H37" s="35">
        <f t="shared" si="30"/>
        <v>0.15706370065091924</v>
      </c>
      <c r="I37" s="36">
        <f t="shared" si="43"/>
        <v>0.14078917254839141</v>
      </c>
      <c r="J37" s="37"/>
      <c r="K37" s="36">
        <f t="shared" si="32"/>
        <v>3.9643182213721455</v>
      </c>
      <c r="L37" s="38">
        <f t="shared" si="44"/>
        <v>674.12018850924301</v>
      </c>
      <c r="M37" s="39">
        <f t="shared" si="34"/>
        <v>138.05592289324639</v>
      </c>
      <c r="N37" s="40">
        <f t="shared" si="35"/>
        <v>-0.44208130564228965</v>
      </c>
      <c r="O37" s="40">
        <f t="shared" si="36"/>
        <v>-1.3002391342420283</v>
      </c>
      <c r="P37" s="39">
        <f t="shared" si="37"/>
        <v>9</v>
      </c>
      <c r="Q37" s="41" t="str">
        <f t="shared" si="12"/>
        <v>1.1</v>
      </c>
      <c r="R37" s="42" t="str">
        <f t="shared" si="13"/>
        <v>on</v>
      </c>
      <c r="S37" s="43">
        <f t="shared" si="45"/>
        <v>8.4746058827890263</v>
      </c>
      <c r="T37" s="44">
        <f t="shared" si="46"/>
        <v>0.88</v>
      </c>
      <c r="U37" s="11">
        <f t="shared" si="47"/>
        <v>2.5882352941176472</v>
      </c>
      <c r="V37" s="18">
        <f t="shared" si="48"/>
        <v>34</v>
      </c>
      <c r="W37" s="21"/>
      <c r="X37" s="143" t="s">
        <v>25</v>
      </c>
      <c r="Y37" s="144"/>
      <c r="Z37" s="144"/>
      <c r="AA37" s="145">
        <f>MOA_Factor</f>
        <v>1</v>
      </c>
      <c r="AB37" s="145"/>
      <c r="AC37" s="140" t="str">
        <f>"75 = "&amp;Q66&amp;" Clicks"</f>
        <v>75 = 2+0.1 Clicks</v>
      </c>
      <c r="AD37" s="141"/>
      <c r="AE37" s="141"/>
      <c r="AF37" s="141"/>
      <c r="AG37" s="141"/>
      <c r="AH37" s="141"/>
      <c r="AI37" s="142"/>
    </row>
    <row r="38" spans="1:35" ht="13" customHeight="1">
      <c r="A38" s="9">
        <v>25</v>
      </c>
      <c r="B38" s="119"/>
      <c r="C38" s="2" t="str">
        <f>IF(B38&lt;0, "- "&amp;TRUNC(ABS(B38)/Turret_Subdivisions,0) &amp; "." &amp; MOD(ABS(B38),Turret_Subdivisions),IF(B38&gt;=Turret_Max,TRUNC(B38/Turret_Max,0)&amp;"+"&amp;TRUNC((B38-(TRUNC(B38/Turret_Max,0)*Turret_Max))/Turret_Subdivisions,0) &amp; "." &amp; MOD((B38-(TRUNC(B38/Turret_Max,0)*Turret_Max)),Turret_Subdivisions),TRUNC(B38/Turret_Subdivisions,0) &amp; "." &amp; MOD(B38,Turret_Subdivisions))) &amp; " vs. " &amp; Q28 &amp; " clicks"</f>
        <v>0.0 vs. 0.0 clicks</v>
      </c>
      <c r="F38" s="45">
        <f t="shared" si="42"/>
        <v>35</v>
      </c>
      <c r="G38" s="35"/>
      <c r="H38" s="35">
        <f t="shared" si="30"/>
        <v>0.16203903817326992</v>
      </c>
      <c r="I38" s="36">
        <f t="shared" si="43"/>
        <v>0.14524897866538564</v>
      </c>
      <c r="J38" s="37"/>
      <c r="K38" s="36">
        <f t="shared" si="32"/>
        <v>4.2194531606675305</v>
      </c>
      <c r="L38" s="46">
        <f t="shared" si="44"/>
        <v>671.23390383352626</v>
      </c>
      <c r="M38" s="47">
        <f t="shared" si="34"/>
        <v>142.11639121363598</v>
      </c>
      <c r="N38" s="48">
        <f t="shared" si="35"/>
        <v>-0.53479751212209159</v>
      </c>
      <c r="O38" s="48">
        <f t="shared" si="36"/>
        <v>-1.5279928917774046</v>
      </c>
      <c r="P38" s="47">
        <f t="shared" si="37"/>
        <v>11</v>
      </c>
      <c r="Q38" s="49" t="str">
        <f t="shared" si="12"/>
        <v>1.3</v>
      </c>
      <c r="R38" s="50">
        <f t="shared" si="13"/>
        <v>0</v>
      </c>
      <c r="S38" s="51">
        <f t="shared" si="45"/>
        <v>8.402192204082084</v>
      </c>
      <c r="T38" s="52">
        <f t="shared" si="46"/>
        <v>0.94</v>
      </c>
      <c r="U38" s="23">
        <f t="shared" si="47"/>
        <v>2.6857142857142859</v>
      </c>
      <c r="V38" s="18">
        <f t="shared" si="48"/>
        <v>35</v>
      </c>
      <c r="W38" s="14" t="str">
        <f>IF(B40="","",-A40*((B40*Click_Value)/(100/MOA_Factor)))</f>
        <v/>
      </c>
      <c r="X38" s="143" t="s">
        <v>31</v>
      </c>
      <c r="Y38" s="144"/>
      <c r="Z38" s="144"/>
      <c r="AA38" s="145" t="str">
        <f>Wind_Speed &amp; " mph"</f>
        <v>5 mph</v>
      </c>
      <c r="AB38" s="145"/>
      <c r="AC38" s="146"/>
      <c r="AD38" s="147"/>
      <c r="AE38" s="147"/>
      <c r="AF38" s="147"/>
      <c r="AG38" s="147"/>
      <c r="AH38" s="147"/>
      <c r="AI38" s="148"/>
    </row>
    <row r="39" spans="1:35" ht="13" customHeight="1">
      <c r="A39" s="9">
        <v>30</v>
      </c>
      <c r="B39" s="119"/>
      <c r="C39" s="2" t="str">
        <f>IF(B39&lt;0, "- "&amp;TRUNC(ABS(B39)/Turret_Subdivisions,0) &amp; "." &amp; MOD(ABS(B39),Turret_Subdivisions),IF(B39&gt;=Turret_Max,TRUNC(B39/Turret_Max,0)&amp;"+"&amp;TRUNC((B39-(TRUNC(B39/Turret_Max,0)*Turret_Max))/Turret_Subdivisions,0) &amp; "." &amp; MOD((B39-(TRUNC(B39/Turret_Max,0)*Turret_Max)),Turret_Subdivisions),TRUNC(B39/Turret_Subdivisions,0) &amp; "." &amp; MOD(B39,Turret_Subdivisions))) &amp; " vs. " &amp; Q33 &amp; " clicks"</f>
        <v>0.0 vs. 0.4 clicks</v>
      </c>
      <c r="F39" s="45">
        <f t="shared" si="42"/>
        <v>36</v>
      </c>
      <c r="G39" s="35"/>
      <c r="H39" s="35">
        <f t="shared" si="30"/>
        <v>0.16703576949048893</v>
      </c>
      <c r="I39" s="36">
        <f t="shared" si="43"/>
        <v>0.14972796180841894</v>
      </c>
      <c r="J39" s="37"/>
      <c r="K39" s="36">
        <f t="shared" si="32"/>
        <v>4.4836925094606714</v>
      </c>
      <c r="L39" s="38">
        <f t="shared" si="44"/>
        <v>668.35997695300875</v>
      </c>
      <c r="M39" s="39">
        <f t="shared" si="34"/>
        <v>146.1768595340256</v>
      </c>
      <c r="N39" s="40">
        <f t="shared" si="35"/>
        <v>-0.63661812809964768</v>
      </c>
      <c r="O39" s="40">
        <f t="shared" si="36"/>
        <v>-1.7683836891656881</v>
      </c>
      <c r="P39" s="39">
        <f t="shared" si="37"/>
        <v>12</v>
      </c>
      <c r="Q39" s="41" t="str">
        <f t="shared" si="12"/>
        <v>1.4</v>
      </c>
      <c r="R39" s="42">
        <f t="shared" si="13"/>
        <v>0.1</v>
      </c>
      <c r="S39" s="43">
        <f t="shared" si="45"/>
        <v>8.3303972846350263</v>
      </c>
      <c r="T39" s="44">
        <f t="shared" si="46"/>
        <v>0.99</v>
      </c>
      <c r="U39" s="11">
        <f t="shared" si="47"/>
        <v>2.75</v>
      </c>
      <c r="V39" s="18">
        <f t="shared" si="48"/>
        <v>36</v>
      </c>
      <c r="W39" s="21"/>
      <c r="X39" s="150"/>
      <c r="Y39" s="151"/>
      <c r="Z39" s="151"/>
      <c r="AA39" s="26"/>
      <c r="AB39" s="26"/>
      <c r="AC39" s="146"/>
      <c r="AD39" s="147"/>
      <c r="AE39" s="147"/>
      <c r="AF39" s="147"/>
      <c r="AG39" s="147"/>
      <c r="AH39" s="147"/>
      <c r="AI39" s="148"/>
    </row>
    <row r="40" spans="1:35" ht="13" customHeight="1">
      <c r="A40" s="9">
        <v>35</v>
      </c>
      <c r="B40" s="119"/>
      <c r="C40" s="2" t="str">
        <f>IF(B40&lt;0, "- "&amp;TRUNC(ABS(B40)/Turret_Subdivisions,0) &amp; "." &amp; MOD(ABS(B40),Turret_Subdivisions),IF(B40&gt;=Turret_Max,TRUNC(B40/Turret_Max,0)&amp;"+"&amp;TRUNC((B40-(TRUNC(B40/Turret_Max,0)*Turret_Max))/Turret_Subdivisions,0) &amp; "." &amp; MOD((B40-(TRUNC(B40/Turret_Max,0)*Turret_Max)),Turret_Subdivisions),TRUNC(B40/Turret_Subdivisions,0) &amp; "." &amp; MOD(B40,Turret_Subdivisions))) &amp; " vs. " &amp; Q38 &amp; " clicks"</f>
        <v>0.0 vs. 1.3 clicks</v>
      </c>
      <c r="F40" s="45">
        <f t="shared" si="42"/>
        <v>37</v>
      </c>
      <c r="G40" s="35"/>
      <c r="H40" s="35">
        <f t="shared" si="30"/>
        <v>0.17205398659522109</v>
      </c>
      <c r="I40" s="36">
        <f t="shared" si="43"/>
        <v>0.15422620443809998</v>
      </c>
      <c r="J40" s="37"/>
      <c r="K40" s="36">
        <f t="shared" si="32"/>
        <v>4.757144427076522</v>
      </c>
      <c r="L40" s="38">
        <f t="shared" si="44"/>
        <v>665.49835495707384</v>
      </c>
      <c r="M40" s="39">
        <f t="shared" si="34"/>
        <v>150.23732785441518</v>
      </c>
      <c r="N40" s="40">
        <f t="shared" si="35"/>
        <v>-0.74765131289991427</v>
      </c>
      <c r="O40" s="40">
        <f t="shared" si="36"/>
        <v>-2.0206792240538221</v>
      </c>
      <c r="P40" s="39">
        <f t="shared" si="37"/>
        <v>14</v>
      </c>
      <c r="Q40" s="41" t="str">
        <f t="shared" si="12"/>
        <v>1.6</v>
      </c>
      <c r="R40" s="42">
        <f t="shared" si="13"/>
        <v>0.2</v>
      </c>
      <c r="S40" s="43">
        <f t="shared" si="45"/>
        <v>8.2592158372834934</v>
      </c>
      <c r="T40" s="44">
        <f t="shared" si="46"/>
        <v>1.05</v>
      </c>
      <c r="U40" s="11">
        <f t="shared" si="47"/>
        <v>2.8378378378378382</v>
      </c>
      <c r="V40" s="18">
        <f t="shared" si="48"/>
        <v>37</v>
      </c>
      <c r="W40" s="21"/>
      <c r="X40" s="28"/>
      <c r="Y40" s="29"/>
      <c r="Z40" s="29"/>
      <c r="AA40" s="29"/>
      <c r="AB40" s="29"/>
      <c r="AC40" s="131"/>
      <c r="AD40" s="132"/>
      <c r="AE40" s="132"/>
      <c r="AF40" s="132"/>
      <c r="AG40" s="132"/>
      <c r="AH40" s="132"/>
      <c r="AI40" s="133"/>
    </row>
    <row r="41" spans="1:35" ht="13" customHeight="1">
      <c r="A41" s="9">
        <v>40</v>
      </c>
      <c r="B41" s="119"/>
      <c r="C41" s="2" t="str">
        <f>IF(B41&lt;0, "- "&amp;TRUNC(ABS(B41)/Turret_Subdivisions,0) &amp; "." &amp; MOD(ABS(B41),Turret_Subdivisions),IF(B41&gt;=Turret_Max,TRUNC(B41/Turret_Max,0)&amp;"+"&amp;TRUNC((B41-(TRUNC(B41/Turret_Max,0)*Turret_Max))/Turret_Subdivisions,0) &amp; "." &amp; MOD((B41-(TRUNC(B41/Turret_Max,0)*Turret_Max)),Turret_Subdivisions),TRUNC(B41/Turret_Subdivisions,0) &amp; "." &amp; MOD(B41,Turret_Subdivisions))) &amp; " vs. " &amp; Q43 &amp; " clicks"</f>
        <v>0.0 vs. 2.4 clicks</v>
      </c>
      <c r="F41" s="45">
        <f t="shared" si="42"/>
        <v>38</v>
      </c>
      <c r="G41" s="35"/>
      <c r="H41" s="35">
        <f t="shared" si="30"/>
        <v>0.17709378187567748</v>
      </c>
      <c r="I41" s="36">
        <f t="shared" si="43"/>
        <v>0.15874378936961606</v>
      </c>
      <c r="J41" s="37"/>
      <c r="K41" s="36">
        <f t="shared" si="32"/>
        <v>5.0399181326850053</v>
      </c>
      <c r="L41" s="38">
        <f t="shared" si="44"/>
        <v>662.64898516164465</v>
      </c>
      <c r="M41" s="39">
        <f t="shared" si="34"/>
        <v>154.29779617480477</v>
      </c>
      <c r="N41" s="40">
        <f t="shared" si="35"/>
        <v>-0.86800628569281457</v>
      </c>
      <c r="O41" s="40">
        <f t="shared" si="36"/>
        <v>-2.2842270676126697</v>
      </c>
      <c r="P41" s="39">
        <f t="shared" si="37"/>
        <v>16</v>
      </c>
      <c r="Q41" s="41" t="str">
        <f t="shared" si="12"/>
        <v>2.0</v>
      </c>
      <c r="R41" s="42">
        <f t="shared" si="13"/>
        <v>0.4</v>
      </c>
      <c r="S41" s="43">
        <f t="shared" si="45"/>
        <v>8.1886426200407936</v>
      </c>
      <c r="T41" s="44">
        <f t="shared" si="46"/>
        <v>1.1100000000000001</v>
      </c>
      <c r="U41" s="11">
        <f t="shared" si="47"/>
        <v>2.9210526315789473</v>
      </c>
      <c r="V41" s="18">
        <f t="shared" si="48"/>
        <v>38</v>
      </c>
    </row>
    <row r="42" spans="1:35" ht="13" customHeight="1">
      <c r="A42" s="9">
        <v>45</v>
      </c>
      <c r="B42" s="119"/>
      <c r="C42" s="2" t="str">
        <f>IF(B42&lt;0, "- "&amp;TRUNC(ABS(B42)/Turret_Subdivisions,0) &amp; "." &amp; MOD(ABS(B42),Turret_Subdivisions),IF(B42&gt;=Turret_Max,TRUNC(B42/Turret_Max,0)&amp;"+"&amp;TRUNC((B42-(TRUNC(B42/Turret_Max,0)*Turret_Max))/Turret_Subdivisions,0) &amp; "." &amp; MOD((B42-(TRUNC(B42/Turret_Max,0)*Turret_Max)),Turret_Subdivisions),TRUNC(B42/Turret_Subdivisions,0) &amp; "." &amp; MOD(B42,Turret_Subdivisions))) &amp; " vs. " &amp; Q48 &amp; " clicks"</f>
        <v>0.0 vs. 3.7 clicks</v>
      </c>
      <c r="F42" s="45">
        <f t="shared" si="42"/>
        <v>39</v>
      </c>
      <c r="G42" s="35"/>
      <c r="H42" s="35">
        <f t="shared" si="30"/>
        <v>0.18215524811733474</v>
      </c>
      <c r="I42" s="36">
        <f t="shared" si="43"/>
        <v>0.16328079977425644</v>
      </c>
      <c r="J42" s="37"/>
      <c r="K42" s="36">
        <f t="shared" si="32"/>
        <v>5.3321239149841642</v>
      </c>
      <c r="L42" s="38">
        <f t="shared" si="44"/>
        <v>659.8118151082142</v>
      </c>
      <c r="M42" s="39">
        <f t="shared" si="34"/>
        <v>158.35826449519439</v>
      </c>
      <c r="N42" s="40">
        <f t="shared" si="35"/>
        <v>-0.99779333517638857</v>
      </c>
      <c r="O42" s="40">
        <f t="shared" si="36"/>
        <v>-2.558444449170227</v>
      </c>
      <c r="P42" s="39">
        <f t="shared" si="37"/>
        <v>18</v>
      </c>
      <c r="Q42" s="41" t="str">
        <f t="shared" si="12"/>
        <v>2.2</v>
      </c>
      <c r="R42" s="42">
        <f t="shared" si="13"/>
        <v>0.5</v>
      </c>
      <c r="S42" s="43">
        <f t="shared" si="45"/>
        <v>8.1186724357118845</v>
      </c>
      <c r="T42" s="44">
        <f t="shared" si="46"/>
        <v>1.17</v>
      </c>
      <c r="U42" s="11">
        <f t="shared" si="47"/>
        <v>3</v>
      </c>
      <c r="V42" s="18">
        <f t="shared" si="48"/>
        <v>39</v>
      </c>
      <c r="W42" s="21"/>
    </row>
    <row r="43" spans="1:35" ht="13" customHeight="1">
      <c r="A43" s="9">
        <v>50</v>
      </c>
      <c r="B43" s="119"/>
      <c r="C43" s="2" t="str">
        <f>IF(B43&lt;0, "- "&amp;TRUNC(ABS(B43)/Turret_Subdivisions,0) &amp; "." &amp; MOD(ABS(B43),Turret_Subdivisions),IF(B43&gt;=Turret_Max,TRUNC(B43/Turret_Max,0)&amp;"+"&amp;TRUNC((B43-(TRUNC(B43/Turret_Max,0)*Turret_Max))/Turret_Subdivisions,0) &amp; "." &amp; MOD((B43-(TRUNC(B43/Turret_Max,0)*Turret_Max)),Turret_Subdivisions),TRUNC(B43/Turret_Subdivisions,0) &amp; "." &amp; MOD(B43,Turret_Subdivisions))) &amp; " vs. " &amp; Q53 &amp; " clicks"</f>
        <v>0.0 vs. 5.3 clicks</v>
      </c>
      <c r="F43" s="45">
        <f t="shared" si="42"/>
        <v>40</v>
      </c>
      <c r="G43" s="35"/>
      <c r="H43" s="35">
        <f t="shared" si="30"/>
        <v>0.18723847850464459</v>
      </c>
      <c r="I43" s="36">
        <f t="shared" si="43"/>
        <v>0.16783731918094472</v>
      </c>
      <c r="J43" s="37"/>
      <c r="K43" s="36">
        <f t="shared" si="32"/>
        <v>5.6338731419692625</v>
      </c>
      <c r="L43" s="46">
        <f t="shared" si="44"/>
        <v>656.98679256287994</v>
      </c>
      <c r="M43" s="47">
        <f t="shared" si="34"/>
        <v>162.41873281558398</v>
      </c>
      <c r="N43" s="48">
        <f t="shared" si="35"/>
        <v>-1.1371238293459029</v>
      </c>
      <c r="O43" s="48">
        <f t="shared" si="36"/>
        <v>-2.8428095733647574</v>
      </c>
      <c r="P43" s="47">
        <f t="shared" si="37"/>
        <v>20</v>
      </c>
      <c r="Q43" s="49" t="str">
        <f t="shared" si="12"/>
        <v>2.4</v>
      </c>
      <c r="R43" s="50">
        <f t="shared" si="13"/>
        <v>0.6</v>
      </c>
      <c r="S43" s="51">
        <f t="shared" si="45"/>
        <v>8.0493001315106376</v>
      </c>
      <c r="T43" s="52">
        <f t="shared" si="46"/>
        <v>1.23</v>
      </c>
      <c r="U43" s="23">
        <f t="shared" si="47"/>
        <v>3.0750000000000002</v>
      </c>
      <c r="V43" s="18">
        <f t="shared" si="48"/>
        <v>40</v>
      </c>
      <c r="W43" s="14" t="str">
        <f>IF(B41="","",-A41*((B41*Click_Value)/(100/MOA_Factor)))</f>
        <v/>
      </c>
    </row>
    <row r="44" spans="1:35" ht="13" customHeight="1">
      <c r="A44" s="9">
        <v>55</v>
      </c>
      <c r="B44" s="119"/>
      <c r="C44" s="2" t="str">
        <f>IF(B44&lt;0, "- "&amp;TRUNC(ABS(B44)/Turret_Subdivisions,0) &amp; "." &amp; MOD(ABS(B44),Turret_Subdivisions),IF(B44&gt;=Turret_Max,TRUNC(B44/Turret_Max,0)&amp;"+"&amp;TRUNC((B44-(TRUNC(B44/Turret_Max,0)*Turret_Max))/Turret_Subdivisions,0) &amp; "." &amp; MOD((B44-(TRUNC(B44/Turret_Max,0)*Turret_Max)),Turret_Subdivisions),TRUNC(B44/Turret_Subdivisions,0) &amp; "." &amp; MOD(B44,Turret_Subdivisions))) &amp; " vs. " &amp; Q58 &amp; " clicks"</f>
        <v>0.0 vs. 7.1 clicks</v>
      </c>
      <c r="F44" s="45">
        <f t="shared" si="42"/>
        <v>41</v>
      </c>
      <c r="G44" s="35"/>
      <c r="H44" s="35">
        <f t="shared" si="30"/>
        <v>0.19234356662274865</v>
      </c>
      <c r="I44" s="36">
        <f t="shared" si="43"/>
        <v>0.17241343147777596</v>
      </c>
      <c r="J44" s="37"/>
      <c r="K44" s="36">
        <f t="shared" si="32"/>
        <v>5.94527827078835</v>
      </c>
      <c r="L44" s="38">
        <f t="shared" si="44"/>
        <v>654.17386551538118</v>
      </c>
      <c r="M44" s="39">
        <f t="shared" si="34"/>
        <v>166.47920113597357</v>
      </c>
      <c r="N44" s="40">
        <f t="shared" si="35"/>
        <v>-1.2861102253494074</v>
      </c>
      <c r="O44" s="40">
        <f t="shared" si="36"/>
        <v>-3.1368542081692867</v>
      </c>
      <c r="P44" s="39">
        <f t="shared" si="37"/>
        <v>22</v>
      </c>
      <c r="Q44" s="41" t="str">
        <f t="shared" si="12"/>
        <v>2.6</v>
      </c>
      <c r="R44" s="42">
        <f t="shared" si="13"/>
        <v>0.8</v>
      </c>
      <c r="S44" s="43">
        <f t="shared" si="45"/>
        <v>7.9805205986803553</v>
      </c>
      <c r="T44" s="44">
        <f t="shared" si="46"/>
        <v>1.3</v>
      </c>
      <c r="U44" s="11">
        <f t="shared" si="47"/>
        <v>3.1707317073170733</v>
      </c>
      <c r="V44" s="18">
        <f t="shared" si="48"/>
        <v>41</v>
      </c>
      <c r="W44" s="21"/>
    </row>
    <row r="45" spans="1:35" ht="13" customHeight="1">
      <c r="F45" s="45">
        <f t="shared" si="42"/>
        <v>42</v>
      </c>
      <c r="G45" s="35"/>
      <c r="H45" s="35">
        <f t="shared" si="30"/>
        <v>0.197470606459202</v>
      </c>
      <c r="I45" s="36">
        <f t="shared" si="43"/>
        <v>0.17700922091356169</v>
      </c>
      <c r="J45" s="37"/>
      <c r="K45" s="36">
        <f t="shared" si="32"/>
        <v>6.2664528576852172</v>
      </c>
      <c r="L45" s="38">
        <f t="shared" si="44"/>
        <v>651.37298217814305</v>
      </c>
      <c r="M45" s="39">
        <f t="shared" si="34"/>
        <v>170.53966945636319</v>
      </c>
      <c r="N45" s="40">
        <f t="shared" si="35"/>
        <v>-1.4448660794306898</v>
      </c>
      <c r="O45" s="40">
        <f t="shared" si="36"/>
        <v>-3.4401573319778325</v>
      </c>
      <c r="P45" s="39">
        <f t="shared" si="37"/>
        <v>24</v>
      </c>
      <c r="Q45" s="41" t="str">
        <f t="shared" si="12"/>
        <v>3.0</v>
      </c>
      <c r="R45" s="42">
        <f t="shared" si="13"/>
        <v>0.9</v>
      </c>
      <c r="S45" s="43">
        <f t="shared" si="45"/>
        <v>7.9123287721175872</v>
      </c>
      <c r="T45" s="44">
        <f t="shared" si="46"/>
        <v>1.36</v>
      </c>
      <c r="U45" s="11">
        <f t="shared" si="47"/>
        <v>3.2380952380952386</v>
      </c>
      <c r="V45" s="18">
        <f t="shared" si="48"/>
        <v>42</v>
      </c>
      <c r="W45" s="21"/>
    </row>
    <row r="46" spans="1:35" ht="13" customHeight="1">
      <c r="F46" s="45">
        <f t="shared" si="42"/>
        <v>43</v>
      </c>
      <c r="G46" s="35"/>
      <c r="H46" s="35">
        <f t="shared" si="30"/>
        <v>0.20261969240570332</v>
      </c>
      <c r="I46" s="36">
        <f t="shared" si="43"/>
        <v>0.18162477209938072</v>
      </c>
      <c r="J46" s="37"/>
      <c r="K46" s="36">
        <f t="shared" si="32"/>
        <v>6.5975115680303968</v>
      </c>
      <c r="L46" s="38">
        <f t="shared" si="44"/>
        <v>648.5840909853215</v>
      </c>
      <c r="M46" s="39">
        <f t="shared" si="34"/>
        <v>174.60013777675277</v>
      </c>
      <c r="N46" s="40">
        <f t="shared" si="35"/>
        <v>-1.6135060569602855</v>
      </c>
      <c r="O46" s="40">
        <f t="shared" si="36"/>
        <v>-3.7523396673495011</v>
      </c>
      <c r="P46" s="39">
        <f t="shared" si="37"/>
        <v>26</v>
      </c>
      <c r="Q46" s="41" t="str">
        <f t="shared" si="12"/>
        <v>3.2</v>
      </c>
      <c r="R46" s="42">
        <f t="shared" si="13"/>
        <v>1.1000000000000001</v>
      </c>
      <c r="S46" s="43">
        <f t="shared" si="45"/>
        <v>7.8447196299990827</v>
      </c>
      <c r="T46" s="44">
        <f t="shared" si="46"/>
        <v>1.43</v>
      </c>
      <c r="U46" s="11">
        <f t="shared" si="47"/>
        <v>3.3255813953488373</v>
      </c>
      <c r="V46" s="18">
        <f t="shared" si="48"/>
        <v>43</v>
      </c>
    </row>
    <row r="47" spans="1:35" ht="13" customHeight="1">
      <c r="B47" s="15"/>
      <c r="C47" s="16"/>
      <c r="D47" s="3"/>
      <c r="E47" s="14"/>
      <c r="F47" s="45">
        <f t="shared" si="42"/>
        <v>44</v>
      </c>
      <c r="G47" s="35"/>
      <c r="H47" s="35">
        <f t="shared" si="30"/>
        <v>0.20779091925983217</v>
      </c>
      <c r="I47" s="36">
        <f t="shared" si="43"/>
        <v>0.18626017001013637</v>
      </c>
      <c r="J47" s="37"/>
      <c r="K47" s="36">
        <f t="shared" si="32"/>
        <v>6.9385701864409803</v>
      </c>
      <c r="L47" s="38">
        <f t="shared" si="44"/>
        <v>645.8071405918547</v>
      </c>
      <c r="M47" s="39">
        <f t="shared" si="34"/>
        <v>178.66060609714236</v>
      </c>
      <c r="N47" s="40">
        <f t="shared" si="35"/>
        <v>-1.7921459425552859</v>
      </c>
      <c r="O47" s="40">
        <f t="shared" si="36"/>
        <v>-4.0730589603529221</v>
      </c>
      <c r="P47" s="39">
        <f t="shared" si="37"/>
        <v>29</v>
      </c>
      <c r="Q47" s="41" t="str">
        <f t="shared" si="12"/>
        <v>3.5</v>
      </c>
      <c r="R47" s="42">
        <f t="shared" si="13"/>
        <v>1.3</v>
      </c>
      <c r="S47" s="43">
        <f t="shared" si="45"/>
        <v>7.7776881934119855</v>
      </c>
      <c r="T47" s="44">
        <f t="shared" si="46"/>
        <v>1.5</v>
      </c>
      <c r="U47" s="11">
        <f t="shared" si="47"/>
        <v>3.4090909090909087</v>
      </c>
      <c r="V47" s="18">
        <f t="shared" si="48"/>
        <v>44</v>
      </c>
      <c r="W47" s="21"/>
    </row>
    <row r="48" spans="1:35" ht="13" customHeight="1">
      <c r="B48" s="15"/>
      <c r="C48" s="16"/>
      <c r="D48" s="3"/>
      <c r="E48" s="14"/>
      <c r="F48" s="45">
        <f t="shared" si="42"/>
        <v>45</v>
      </c>
      <c r="G48" s="35"/>
      <c r="H48" s="35">
        <f t="shared" si="30"/>
        <v>0.21298438222679539</v>
      </c>
      <c r="I48" s="36">
        <f t="shared" si="43"/>
        <v>0.19091549998612203</v>
      </c>
      <c r="J48" s="37"/>
      <c r="K48" s="36">
        <f t="shared" si="32"/>
        <v>7.2897456269901921</v>
      </c>
      <c r="L48" s="46">
        <f t="shared" si="44"/>
        <v>643.04207987251812</v>
      </c>
      <c r="M48" s="47">
        <f t="shared" si="34"/>
        <v>182.72107441753198</v>
      </c>
      <c r="N48" s="48">
        <f t="shared" si="35"/>
        <v>-1.9809026502889129</v>
      </c>
      <c r="O48" s="48">
        <f t="shared" si="36"/>
        <v>-4.4020058895309173</v>
      </c>
      <c r="P48" s="47">
        <f t="shared" si="37"/>
        <v>31</v>
      </c>
      <c r="Q48" s="49" t="str">
        <f t="shared" si="12"/>
        <v>3.7</v>
      </c>
      <c r="R48" s="50">
        <f t="shared" si="13"/>
        <v>1.5</v>
      </c>
      <c r="S48" s="51">
        <f t="shared" si="45"/>
        <v>7.7112295259871875</v>
      </c>
      <c r="T48" s="52">
        <f t="shared" si="46"/>
        <v>1.57</v>
      </c>
      <c r="U48" s="23">
        <f t="shared" si="47"/>
        <v>3.4888888888888894</v>
      </c>
      <c r="V48" s="18">
        <f t="shared" si="48"/>
        <v>45</v>
      </c>
      <c r="W48" s="14" t="str">
        <f>IF(B42="","",-A42*((B42*Click_Value)/(100/MOA_Factor)))</f>
        <v/>
      </c>
    </row>
    <row r="49" spans="2:23" ht="13" customHeight="1">
      <c r="B49" s="15"/>
      <c r="C49" s="16"/>
      <c r="D49" s="3"/>
      <c r="E49" s="14"/>
      <c r="F49" s="45">
        <f t="shared" si="42"/>
        <v>46</v>
      </c>
      <c r="G49" s="35"/>
      <c r="H49" s="35">
        <f t="shared" si="30"/>
        <v>0.21820017692117832</v>
      </c>
      <c r="I49" s="36">
        <f t="shared" si="43"/>
        <v>0.1955908477345909</v>
      </c>
      <c r="J49" s="37"/>
      <c r="K49" s="36">
        <f t="shared" si="32"/>
        <v>7.6511559435071845</v>
      </c>
      <c r="L49" s="38">
        <f t="shared" si="44"/>
        <v>640.28885792098231</v>
      </c>
      <c r="M49" s="39">
        <f t="shared" si="34"/>
        <v>186.78154273792157</v>
      </c>
      <c r="N49" s="40">
        <f t="shared" si="35"/>
        <v>-2.1798942339903213</v>
      </c>
      <c r="O49" s="40">
        <f t="shared" si="36"/>
        <v>-4.7389005086746119</v>
      </c>
      <c r="P49" s="39">
        <f t="shared" si="37"/>
        <v>33</v>
      </c>
      <c r="Q49" s="41" t="str">
        <f t="shared" si="12"/>
        <v>4.1</v>
      </c>
      <c r="R49" s="42">
        <f t="shared" si="13"/>
        <v>1.7</v>
      </c>
      <c r="S49" s="43">
        <f t="shared" si="45"/>
        <v>7.6453387335357794</v>
      </c>
      <c r="T49" s="44">
        <f t="shared" si="46"/>
        <v>1.64</v>
      </c>
      <c r="U49" s="11">
        <f t="shared" si="47"/>
        <v>3.5652173913043477</v>
      </c>
      <c r="V49" s="18">
        <f t="shared" si="48"/>
        <v>46</v>
      </c>
      <c r="W49" s="21"/>
    </row>
    <row r="50" spans="2:23" ht="13" customHeight="1">
      <c r="B50" s="15"/>
      <c r="C50" s="16"/>
      <c r="D50" s="3"/>
      <c r="E50" s="14"/>
      <c r="F50" s="45">
        <f t="shared" si="42"/>
        <v>47</v>
      </c>
      <c r="G50" s="35"/>
      <c r="H50" s="35">
        <f t="shared" si="30"/>
        <v>0.2234383993687068</v>
      </c>
      <c r="I50" s="36">
        <f t="shared" si="43"/>
        <v>0.20028629933133529</v>
      </c>
      <c r="J50" s="37"/>
      <c r="K50" s="36">
        <f t="shared" si="32"/>
        <v>8.0229203399682483</v>
      </c>
      <c r="L50" s="38">
        <f t="shared" si="44"/>
        <v>637.54742404887679</v>
      </c>
      <c r="M50" s="39">
        <f t="shared" si="34"/>
        <v>190.84201105831119</v>
      </c>
      <c r="N50" s="40">
        <f t="shared" si="35"/>
        <v>-2.3892398976358011</v>
      </c>
      <c r="O50" s="40">
        <f t="shared" si="36"/>
        <v>-5.0834891439059602</v>
      </c>
      <c r="P50" s="39">
        <f t="shared" si="37"/>
        <v>36</v>
      </c>
      <c r="Q50" s="41" t="str">
        <f t="shared" si="12"/>
        <v>4.4</v>
      </c>
      <c r="R50" s="42">
        <f t="shared" si="13"/>
        <v>1.9</v>
      </c>
      <c r="S50" s="43">
        <f t="shared" si="45"/>
        <v>7.5800109636886503</v>
      </c>
      <c r="T50" s="44">
        <f t="shared" si="46"/>
        <v>1.72</v>
      </c>
      <c r="U50" s="11">
        <f t="shared" si="47"/>
        <v>3.6595744680851063</v>
      </c>
      <c r="V50" s="18">
        <f t="shared" si="48"/>
        <v>47</v>
      </c>
      <c r="W50" s="21"/>
    </row>
    <row r="51" spans="2:23" ht="13" customHeight="1">
      <c r="B51" s="15"/>
      <c r="C51" s="16"/>
      <c r="D51" s="3"/>
      <c r="E51" s="14"/>
      <c r="F51" s="45">
        <f t="shared" si="42"/>
        <v>48</v>
      </c>
      <c r="G51" s="35"/>
      <c r="H51" s="35">
        <f t="shared" si="30"/>
        <v>0.22869914600801411</v>
      </c>
      <c r="I51" s="36">
        <f t="shared" si="43"/>
        <v>0.20500194122227067</v>
      </c>
      <c r="J51" s="37"/>
      <c r="K51" s="36">
        <f t="shared" si="32"/>
        <v>8.4051591809798634</v>
      </c>
      <c r="L51" s="38">
        <f t="shared" si="44"/>
        <v>634.81772778485549</v>
      </c>
      <c r="M51" s="39">
        <f t="shared" si="34"/>
        <v>194.90247937870078</v>
      </c>
      <c r="N51" s="40">
        <f t="shared" si="35"/>
        <v>-2.6090600058318323</v>
      </c>
      <c r="O51" s="40">
        <f t="shared" si="36"/>
        <v>-5.4355416788163167</v>
      </c>
      <c r="P51" s="39">
        <f t="shared" si="37"/>
        <v>38</v>
      </c>
      <c r="Q51" s="41" t="str">
        <f t="shared" si="12"/>
        <v>4.6</v>
      </c>
      <c r="R51" s="42">
        <f t="shared" si="13"/>
        <v>2.1</v>
      </c>
      <c r="S51" s="43">
        <f t="shared" si="45"/>
        <v>7.5152414055391183</v>
      </c>
      <c r="T51" s="44">
        <f t="shared" si="46"/>
        <v>1.79</v>
      </c>
      <c r="U51" s="11">
        <f t="shared" si="47"/>
        <v>3.729166666666667</v>
      </c>
      <c r="V51" s="18">
        <f t="shared" si="48"/>
        <v>48</v>
      </c>
    </row>
    <row r="52" spans="2:23" ht="13" customHeight="1">
      <c r="B52" s="15"/>
      <c r="C52" s="16"/>
      <c r="D52" s="3"/>
      <c r="E52" s="14"/>
      <c r="F52" s="45">
        <f t="shared" si="42"/>
        <v>49</v>
      </c>
      <c r="G52" s="35"/>
      <c r="H52" s="35">
        <f t="shared" si="30"/>
        <v>0.23398251369241629</v>
      </c>
      <c r="I52" s="36">
        <f t="shared" si="43"/>
        <v>0.20973786022502683</v>
      </c>
      <c r="J52" s="37"/>
      <c r="K52" s="36">
        <f t="shared" si="32"/>
        <v>8.797994002354578</v>
      </c>
      <c r="L52" s="38">
        <f t="shared" si="44"/>
        <v>632.09971887366919</v>
      </c>
      <c r="M52" s="39">
        <f t="shared" si="34"/>
        <v>198.96294769909036</v>
      </c>
      <c r="N52" s="40">
        <f t="shared" si="35"/>
        <v>-2.8394760943909638</v>
      </c>
      <c r="O52" s="40">
        <f t="shared" si="36"/>
        <v>-5.7948491722264563</v>
      </c>
      <c r="P52" s="39">
        <f t="shared" si="37"/>
        <v>41</v>
      </c>
      <c r="Q52" s="41" t="str">
        <f t="shared" si="12"/>
        <v>5.1</v>
      </c>
      <c r="R52" s="42">
        <f t="shared" si="13"/>
        <v>2.2999999999999998</v>
      </c>
      <c r="S52" s="43">
        <f t="shared" si="45"/>
        <v>7.4510252892886824</v>
      </c>
      <c r="T52" s="44">
        <f t="shared" si="46"/>
        <v>1.87</v>
      </c>
      <c r="U52" s="11">
        <f t="shared" si="47"/>
        <v>3.8163265306122449</v>
      </c>
      <c r="V52" s="18">
        <f t="shared" si="48"/>
        <v>49</v>
      </c>
      <c r="W52" s="21"/>
    </row>
    <row r="53" spans="2:23" ht="13" customHeight="1">
      <c r="B53" s="15"/>
      <c r="C53" s="16"/>
      <c r="D53" s="3"/>
      <c r="E53" s="14"/>
      <c r="F53" s="45">
        <f t="shared" si="42"/>
        <v>50</v>
      </c>
      <c r="G53" s="35"/>
      <c r="H53" s="35">
        <f t="shared" si="30"/>
        <v>0.2392885996916958</v>
      </c>
      <c r="I53" s="36">
        <f t="shared" si="43"/>
        <v>0.21449414353054688</v>
      </c>
      <c r="J53" s="37"/>
      <c r="K53" s="36">
        <f t="shared" si="32"/>
        <v>9.2015475217805687</v>
      </c>
      <c r="L53" s="46">
        <f t="shared" si="44"/>
        <v>629.39334727523885</v>
      </c>
      <c r="M53" s="47">
        <f t="shared" si="34"/>
        <v>203.02341601947998</v>
      </c>
      <c r="N53" s="48">
        <f t="shared" si="35"/>
        <v>-3.0806108810013697</v>
      </c>
      <c r="O53" s="48">
        <f t="shared" si="36"/>
        <v>-6.1612217620027394</v>
      </c>
      <c r="P53" s="47">
        <f t="shared" si="37"/>
        <v>43</v>
      </c>
      <c r="Q53" s="49" t="str">
        <f t="shared" si="12"/>
        <v>5.3</v>
      </c>
      <c r="R53" s="50">
        <f t="shared" si="13"/>
        <v>2.6</v>
      </c>
      <c r="S53" s="51">
        <f t="shared" si="45"/>
        <v>7.3873578858957254</v>
      </c>
      <c r="T53" s="52">
        <f t="shared" si="46"/>
        <v>1.95</v>
      </c>
      <c r="U53" s="23">
        <f t="shared" si="47"/>
        <v>3.9</v>
      </c>
      <c r="V53" s="18">
        <f t="shared" si="48"/>
        <v>50</v>
      </c>
      <c r="W53" s="14" t="str">
        <f>IF(B43="","",-A43*((B43*Click_Value)/(100/MOA_Factor)))</f>
        <v/>
      </c>
    </row>
    <row r="54" spans="2:23" ht="13" customHeight="1">
      <c r="B54" s="15"/>
      <c r="C54" s="16"/>
      <c r="D54" s="3"/>
      <c r="E54" s="14"/>
      <c r="F54" s="45">
        <f t="shared" si="42"/>
        <v>51</v>
      </c>
      <c r="G54" s="35"/>
      <c r="H54" s="35">
        <f t="shared" si="30"/>
        <v>0.24461750169389207</v>
      </c>
      <c r="I54" s="36">
        <f t="shared" si="43"/>
        <v>0.21927087870469222</v>
      </c>
      <c r="J54" s="37"/>
      <c r="K54" s="36">
        <f t="shared" si="32"/>
        <v>9.6159436495855708</v>
      </c>
      <c r="L54" s="38">
        <f t="shared" si="44"/>
        <v>626.69856316373523</v>
      </c>
      <c r="M54" s="39">
        <f t="shared" si="34"/>
        <v>207.08388433986957</v>
      </c>
      <c r="N54" s="40">
        <f t="shared" si="35"/>
        <v>-3.3325882759907888</v>
      </c>
      <c r="O54" s="40">
        <f t="shared" si="36"/>
        <v>-6.5344868156682123</v>
      </c>
      <c r="P54" s="39">
        <f t="shared" si="37"/>
        <v>46</v>
      </c>
      <c r="Q54" s="41" t="str">
        <f t="shared" si="12"/>
        <v>5.6</v>
      </c>
      <c r="R54" s="42">
        <f t="shared" si="13"/>
        <v>2.8</v>
      </c>
      <c r="S54" s="43">
        <f t="shared" si="45"/>
        <v>7.3242345067272785</v>
      </c>
      <c r="T54" s="44">
        <f t="shared" si="46"/>
        <v>2.0299999999999998</v>
      </c>
      <c r="U54" s="11">
        <f t="shared" si="47"/>
        <v>3.9803921568627452</v>
      </c>
      <c r="V54" s="18">
        <f t="shared" si="48"/>
        <v>51</v>
      </c>
      <c r="W54" s="21"/>
    </row>
    <row r="55" spans="2:23" ht="13" customHeight="1">
      <c r="B55" s="15"/>
      <c r="C55" s="16"/>
      <c r="D55" s="3"/>
      <c r="E55" s="14"/>
      <c r="F55" s="45">
        <f t="shared" si="42"/>
        <v>52</v>
      </c>
      <c r="G55" s="35"/>
      <c r="H55" s="35">
        <f t="shared" si="30"/>
        <v>0.2499693178071003</v>
      </c>
      <c r="I55" s="36">
        <f t="shared" si="43"/>
        <v>0.22406815368985492</v>
      </c>
      <c r="J55" s="37"/>
      <c r="K55" s="36">
        <f t="shared" si="32"/>
        <v>10.041307499596089</v>
      </c>
      <c r="L55" s="38">
        <f t="shared" si="44"/>
        <v>624.01531692666106</v>
      </c>
      <c r="M55" s="39">
        <f t="shared" si="34"/>
        <v>211.14435266025919</v>
      </c>
      <c r="N55" s="40">
        <f t="shared" si="35"/>
        <v>-3.5955333931857218</v>
      </c>
      <c r="O55" s="40">
        <f t="shared" si="36"/>
        <v>-6.9144872945879259</v>
      </c>
      <c r="P55" s="39">
        <f t="shared" si="37"/>
        <v>48</v>
      </c>
      <c r="Q55" s="41" t="str">
        <f t="shared" si="12"/>
        <v>6.0</v>
      </c>
      <c r="R55" s="42">
        <f t="shared" si="13"/>
        <v>3.1</v>
      </c>
      <c r="S55" s="43">
        <f t="shared" si="45"/>
        <v>7.2616505032137262</v>
      </c>
      <c r="T55" s="44">
        <f t="shared" si="46"/>
        <v>2.12</v>
      </c>
      <c r="U55" s="11">
        <f t="shared" si="47"/>
        <v>4.0769230769230775</v>
      </c>
      <c r="V55" s="18">
        <f t="shared" si="48"/>
        <v>52</v>
      </c>
      <c r="W55" s="21"/>
    </row>
    <row r="56" spans="2:23" ht="13" customHeight="1">
      <c r="B56" s="15"/>
      <c r="C56" s="16"/>
      <c r="D56" s="3"/>
      <c r="E56" s="14"/>
      <c r="F56" s="45">
        <f t="shared" si="42"/>
        <v>53</v>
      </c>
      <c r="G56" s="35"/>
      <c r="H56" s="35">
        <f t="shared" si="30"/>
        <v>0.25534414656127713</v>
      </c>
      <c r="I56" s="36">
        <f t="shared" si="43"/>
        <v>0.22888605680657628</v>
      </c>
      <c r="J56" s="37"/>
      <c r="K56" s="36">
        <f t="shared" si="32"/>
        <v>10.477765400092654</v>
      </c>
      <c r="L56" s="38">
        <f t="shared" si="44"/>
        <v>621.34355916393793</v>
      </c>
      <c r="M56" s="39">
        <f t="shared" si="34"/>
        <v>215.20482098064878</v>
      </c>
      <c r="N56" s="40">
        <f t="shared" si="35"/>
        <v>-3.8695725608667022</v>
      </c>
      <c r="O56" s="40">
        <f t="shared" si="36"/>
        <v>-7.3010803035220802</v>
      </c>
      <c r="P56" s="39">
        <f t="shared" si="37"/>
        <v>51</v>
      </c>
      <c r="Q56" s="41" t="str">
        <f t="shared" si="12"/>
        <v>6.3</v>
      </c>
      <c r="R56" s="42">
        <f t="shared" si="13"/>
        <v>3.4</v>
      </c>
      <c r="S56" s="43">
        <f t="shared" si="45"/>
        <v>7.1996012665064768</v>
      </c>
      <c r="T56" s="44">
        <f t="shared" si="46"/>
        <v>2.2000000000000002</v>
      </c>
      <c r="U56" s="11">
        <f t="shared" si="47"/>
        <v>4.1509433962264159</v>
      </c>
      <c r="V56" s="18">
        <f t="shared" si="48"/>
        <v>53</v>
      </c>
      <c r="W56" s="21"/>
    </row>
    <row r="57" spans="2:23" ht="13" customHeight="1">
      <c r="B57" s="15"/>
      <c r="C57" s="16"/>
      <c r="D57" s="3"/>
      <c r="E57" s="14"/>
      <c r="F57" s="45">
        <f t="shared" si="42"/>
        <v>54</v>
      </c>
      <c r="G57" s="35"/>
      <c r="H57" s="35">
        <f t="shared" si="30"/>
        <v>0.26074208691005474</v>
      </c>
      <c r="I57" s="36">
        <f t="shared" si="43"/>
        <v>0.23372467675517308</v>
      </c>
      <c r="J57" s="37"/>
      <c r="K57" s="36">
        <f t="shared" si="32"/>
        <v>10.925444904862029</v>
      </c>
      <c r="L57" s="38">
        <f t="shared" si="44"/>
        <v>618.6832406869969</v>
      </c>
      <c r="M57" s="39">
        <f t="shared" si="34"/>
        <v>219.26528930103837</v>
      </c>
      <c r="N57" s="40">
        <f t="shared" si="35"/>
        <v>-4.1548333328204947</v>
      </c>
      <c r="O57" s="40">
        <f t="shared" si="36"/>
        <v>-7.694135801519435</v>
      </c>
      <c r="P57" s="39">
        <f t="shared" si="37"/>
        <v>54</v>
      </c>
      <c r="Q57" s="41" t="str">
        <f t="shared" si="12"/>
        <v>6.6</v>
      </c>
      <c r="R57" s="42">
        <f t="shared" si="13"/>
        <v>3.7</v>
      </c>
      <c r="S57" s="43">
        <f t="shared" si="45"/>
        <v>7.1380822271385602</v>
      </c>
      <c r="T57" s="44">
        <f t="shared" si="46"/>
        <v>2.29</v>
      </c>
      <c r="U57" s="11">
        <f t="shared" si="47"/>
        <v>4.2407407407407405</v>
      </c>
      <c r="V57" s="18">
        <f t="shared" si="48"/>
        <v>54</v>
      </c>
      <c r="W57" s="21"/>
    </row>
    <row r="58" spans="2:23" ht="13" customHeight="1">
      <c r="B58" s="15"/>
      <c r="C58" s="16"/>
      <c r="D58" s="3"/>
      <c r="E58" s="14"/>
      <c r="F58" s="45">
        <f t="shared" si="42"/>
        <v>55</v>
      </c>
      <c r="G58" s="35"/>
      <c r="H58" s="35">
        <f t="shared" si="30"/>
        <v>0.26616323823256294</v>
      </c>
      <c r="I58" s="36">
        <f t="shared" si="43"/>
        <v>0.23858410261737076</v>
      </c>
      <c r="J58" s="37"/>
      <c r="K58" s="36">
        <f t="shared" si="32"/>
        <v>11.384474804347219</v>
      </c>
      <c r="L58" s="46">
        <f t="shared" si="44"/>
        <v>616.03431251787231</v>
      </c>
      <c r="M58" s="47">
        <f t="shared" si="34"/>
        <v>223.32575762142798</v>
      </c>
      <c r="N58" s="48">
        <f t="shared" si="35"/>
        <v>-4.4514444994900995</v>
      </c>
      <c r="O58" s="48">
        <f t="shared" si="36"/>
        <v>-8.0935354536183635</v>
      </c>
      <c r="P58" s="47">
        <f t="shared" si="37"/>
        <v>57</v>
      </c>
      <c r="Q58" s="49" t="str">
        <f t="shared" si="12"/>
        <v>7.1</v>
      </c>
      <c r="R58" s="50">
        <f t="shared" si="13"/>
        <v>4</v>
      </c>
      <c r="S58" s="51">
        <f t="shared" si="45"/>
        <v>7.0770888546881041</v>
      </c>
      <c r="T58" s="52">
        <f t="shared" si="46"/>
        <v>2.38</v>
      </c>
      <c r="U58" s="23">
        <f t="shared" si="47"/>
        <v>4.3272727272727272</v>
      </c>
      <c r="V58" s="18">
        <f t="shared" si="48"/>
        <v>55</v>
      </c>
      <c r="W58" s="14" t="str">
        <f>IF(B44="","",-A44*((B44*Click_Value)/(100/MOA_Factor)))</f>
        <v/>
      </c>
    </row>
    <row r="59" spans="2:23" ht="13" customHeight="1">
      <c r="B59" s="15"/>
      <c r="C59" s="16"/>
      <c r="D59" s="3"/>
      <c r="E59" s="14"/>
      <c r="F59" s="45">
        <f t="shared" si="42"/>
        <v>56</v>
      </c>
      <c r="G59" s="35"/>
      <c r="H59" s="35">
        <f t="shared" si="30"/>
        <v>0.27160770033525927</v>
      </c>
      <c r="I59" s="36">
        <f t="shared" si="43"/>
        <v>0.24346442385794381</v>
      </c>
      <c r="J59" s="37"/>
      <c r="K59" s="36">
        <f t="shared" si="32"/>
        <v>11.854985136896104</v>
      </c>
      <c r="L59" s="38">
        <f t="shared" si="44"/>
        <v>613.39672588830115</v>
      </c>
      <c r="M59" s="39">
        <f t="shared" si="34"/>
        <v>227.38622594181757</v>
      </c>
      <c r="N59" s="40">
        <f t="shared" si="35"/>
        <v>-4.7595360992234017</v>
      </c>
      <c r="O59" s="40">
        <f t="shared" si="36"/>
        <v>-8.4991716057560751</v>
      </c>
      <c r="P59" s="39">
        <f t="shared" si="37"/>
        <v>59</v>
      </c>
      <c r="Q59" s="41" t="str">
        <f t="shared" si="12"/>
        <v>7.3</v>
      </c>
      <c r="R59" s="42">
        <f t="shared" si="13"/>
        <v>4.3</v>
      </c>
      <c r="S59" s="43">
        <f t="shared" si="45"/>
        <v>7.0166166574447333</v>
      </c>
      <c r="T59" s="44">
        <f t="shared" si="46"/>
        <v>2.4700000000000002</v>
      </c>
      <c r="U59" s="11">
        <f t="shared" si="47"/>
        <v>4.4107142857142856</v>
      </c>
      <c r="V59" s="18">
        <f t="shared" si="48"/>
        <v>56</v>
      </c>
      <c r="W59" s="21"/>
    </row>
    <row r="60" spans="2:23" ht="13" customHeight="1">
      <c r="B60" s="15"/>
      <c r="C60" s="16"/>
      <c r="D60" s="3"/>
      <c r="E60" s="14"/>
      <c r="F60" s="45">
        <f t="shared" si="42"/>
        <v>57</v>
      </c>
      <c r="G60" s="35"/>
      <c r="H60" s="35">
        <f t="shared" si="30"/>
        <v>0.2770755734537651</v>
      </c>
      <c r="I60" s="36">
        <f t="shared" si="43"/>
        <v>0.24836573032636189</v>
      </c>
      <c r="J60" s="37"/>
      <c r="K60" s="36">
        <f t="shared" si="32"/>
        <v>12.337107200109424</v>
      </c>
      <c r="L60" s="38">
        <f t="shared" si="44"/>
        <v>610.7704322388239</v>
      </c>
      <c r="M60" s="39">
        <f t="shared" si="34"/>
        <v>231.44669426220716</v>
      </c>
      <c r="N60" s="40">
        <f t="shared" si="35"/>
        <v>-5.0792394296211381</v>
      </c>
      <c r="O60" s="40">
        <f t="shared" si="36"/>
        <v>-8.9109463677563827</v>
      </c>
      <c r="P60" s="39">
        <f t="shared" si="37"/>
        <v>62</v>
      </c>
      <c r="Q60" s="41" t="str">
        <f t="shared" si="12"/>
        <v>1+0.2</v>
      </c>
      <c r="R60" s="42">
        <f t="shared" si="13"/>
        <v>4.5999999999999996</v>
      </c>
      <c r="S60" s="43">
        <f t="shared" si="45"/>
        <v>6.9566611820787481</v>
      </c>
      <c r="T60" s="44">
        <f t="shared" si="46"/>
        <v>2.56</v>
      </c>
      <c r="U60" s="11">
        <f t="shared" si="47"/>
        <v>4.4912280701754392</v>
      </c>
      <c r="V60" s="18">
        <f t="shared" si="48"/>
        <v>57</v>
      </c>
      <c r="W60" s="21"/>
    </row>
    <row r="61" spans="2:23" ht="13" customHeight="1">
      <c r="B61" s="15"/>
      <c r="C61" s="16"/>
      <c r="D61" s="3"/>
      <c r="E61" s="14"/>
      <c r="F61" s="45">
        <f t="shared" si="42"/>
        <v>58</v>
      </c>
      <c r="G61" s="35"/>
      <c r="H61" s="35">
        <f t="shared" si="30"/>
        <v>0.28256695825471212</v>
      </c>
      <c r="I61" s="36">
        <f t="shared" si="43"/>
        <v>0.25328811225844466</v>
      </c>
      <c r="J61" s="37"/>
      <c r="K61" s="36">
        <f t="shared" si="32"/>
        <v>12.830973562289294</v>
      </c>
      <c r="L61" s="38">
        <f t="shared" si="44"/>
        <v>608.15538321789165</v>
      </c>
      <c r="M61" s="39">
        <f t="shared" si="34"/>
        <v>235.50716258259678</v>
      </c>
      <c r="N61" s="40">
        <f t="shared" si="35"/>
        <v>-5.4106870589854239</v>
      </c>
      <c r="O61" s="40">
        <f t="shared" si="36"/>
        <v>-9.3287707913541791</v>
      </c>
      <c r="P61" s="39">
        <f t="shared" si="37"/>
        <v>65</v>
      </c>
      <c r="Q61" s="41" t="str">
        <f t="shared" si="12"/>
        <v>1+0.5</v>
      </c>
      <c r="R61" s="42">
        <f t="shared" si="13"/>
        <v>4.9000000000000004</v>
      </c>
      <c r="S61" s="43">
        <f t="shared" si="45"/>
        <v>6.8972180133132053</v>
      </c>
      <c r="T61" s="44">
        <f t="shared" si="46"/>
        <v>2.66</v>
      </c>
      <c r="U61" s="11">
        <f t="shared" si="47"/>
        <v>4.5862068965517242</v>
      </c>
      <c r="V61" s="18">
        <f t="shared" si="48"/>
        <v>58</v>
      </c>
      <c r="W61" s="21"/>
    </row>
    <row r="62" spans="2:23" ht="13" customHeight="1">
      <c r="B62" s="15"/>
      <c r="C62" s="16"/>
      <c r="D62" s="3"/>
      <c r="E62" s="14"/>
      <c r="F62" s="45">
        <f t="shared" si="42"/>
        <v>59</v>
      </c>
      <c r="G62" s="35"/>
      <c r="H62" s="35">
        <f t="shared" si="30"/>
        <v>0.28808195583759533</v>
      </c>
      <c r="I62" s="36">
        <f t="shared" si="43"/>
        <v>0.25823166027802308</v>
      </c>
      <c r="J62" s="37"/>
      <c r="K62" s="36">
        <f t="shared" si="32"/>
        <v>13.336718073988866</v>
      </c>
      <c r="L62" s="38">
        <f t="shared" si="44"/>
        <v>605.55153068097513</v>
      </c>
      <c r="M62" s="39">
        <f t="shared" si="34"/>
        <v>239.56763090298637</v>
      </c>
      <c r="N62" s="40">
        <f t="shared" si="35"/>
        <v>-5.7540128378694106</v>
      </c>
      <c r="O62" s="40">
        <f t="shared" si="36"/>
        <v>-9.7525641319820515</v>
      </c>
      <c r="P62" s="39">
        <f t="shared" si="37"/>
        <v>68</v>
      </c>
      <c r="Q62" s="41" t="str">
        <f t="shared" si="12"/>
        <v>1+1.0</v>
      </c>
      <c r="R62" s="42">
        <f t="shared" si="13"/>
        <v>5.3</v>
      </c>
      <c r="S62" s="43">
        <f t="shared" si="45"/>
        <v>6.8382827735987393</v>
      </c>
      <c r="T62" s="44">
        <f t="shared" si="46"/>
        <v>2.76</v>
      </c>
      <c r="U62" s="11">
        <f t="shared" si="47"/>
        <v>4.6779661016949152</v>
      </c>
      <c r="V62" s="18">
        <f t="shared" si="48"/>
        <v>59</v>
      </c>
      <c r="W62" s="21"/>
    </row>
    <row r="63" spans="2:23" ht="13" customHeight="1">
      <c r="B63" s="15"/>
      <c r="C63" s="16"/>
      <c r="D63" s="3"/>
      <c r="E63" s="14"/>
      <c r="F63" s="45">
        <f t="shared" si="42"/>
        <v>60</v>
      </c>
      <c r="G63" s="35"/>
      <c r="H63" s="35">
        <f t="shared" si="30"/>
        <v>0.29362066773663442</v>
      </c>
      <c r="I63" s="36">
        <f t="shared" si="43"/>
        <v>0.26319646539860764</v>
      </c>
      <c r="J63" s="37"/>
      <c r="K63" s="36">
        <f t="shared" si="32"/>
        <v>13.854475879664093</v>
      </c>
      <c r="L63" s="46">
        <f t="shared" si="44"/>
        <v>602.95882668967886</v>
      </c>
      <c r="M63" s="47">
        <f t="shared" si="34"/>
        <v>243.62809922337595</v>
      </c>
      <c r="N63" s="48">
        <f t="shared" si="35"/>
        <v>-6.109351910729055</v>
      </c>
      <c r="O63" s="48">
        <f t="shared" si="36"/>
        <v>-10.182253184548424</v>
      </c>
      <c r="P63" s="47">
        <f t="shared" si="37"/>
        <v>71</v>
      </c>
      <c r="Q63" s="49" t="str">
        <f t="shared" si="12"/>
        <v>1+1.3</v>
      </c>
      <c r="R63" s="50">
        <f t="shared" si="13"/>
        <v>5.6</v>
      </c>
      <c r="S63" s="51">
        <f t="shared" si="45"/>
        <v>6.7798511227912037</v>
      </c>
      <c r="T63" s="52">
        <f t="shared" si="46"/>
        <v>2.85</v>
      </c>
      <c r="U63" s="23">
        <f t="shared" si="47"/>
        <v>4.75</v>
      </c>
      <c r="V63" s="18">
        <f t="shared" si="48"/>
        <v>60</v>
      </c>
      <c r="W63" s="21"/>
    </row>
    <row r="64" spans="2:23" ht="13" customHeight="1">
      <c r="B64" s="15"/>
      <c r="C64" s="16"/>
      <c r="D64" s="3"/>
      <c r="E64" s="14"/>
      <c r="F64" s="45">
        <v>65</v>
      </c>
      <c r="G64" s="35"/>
      <c r="H64" s="35">
        <f t="shared" si="30"/>
        <v>0.32167352633879243</v>
      </c>
      <c r="I64" s="36">
        <f t="shared" si="43"/>
        <v>0.28834256047879975</v>
      </c>
      <c r="J64" s="37"/>
      <c r="K64" s="36">
        <f t="shared" si="32"/>
        <v>16.628286436694058</v>
      </c>
      <c r="L64" s="38">
        <f t="shared" si="44"/>
        <v>590.16087139212163</v>
      </c>
      <c r="M64" s="39">
        <f t="shared" si="34"/>
        <v>263.93044082532396</v>
      </c>
      <c r="N64" s="40">
        <f t="shared" si="35"/>
        <v>-8.0710688036810989</v>
      </c>
      <c r="O64" s="40">
        <f t="shared" si="36"/>
        <v>-12.417028928740152</v>
      </c>
      <c r="P64" s="39">
        <f t="shared" si="37"/>
        <v>87</v>
      </c>
      <c r="Q64" s="41" t="str">
        <f t="shared" si="12"/>
        <v>1+3.3</v>
      </c>
      <c r="R64" s="42">
        <f t="shared" si="13"/>
        <v>7.6</v>
      </c>
      <c r="S64" s="43">
        <f t="shared" si="45"/>
        <v>6.4950973756339723</v>
      </c>
      <c r="T64" s="44">
        <f t="shared" si="46"/>
        <v>3.37</v>
      </c>
      <c r="U64" s="11">
        <f t="shared" si="47"/>
        <v>5.1846153846153848</v>
      </c>
      <c r="V64" s="18">
        <f t="shared" si="48"/>
        <v>65</v>
      </c>
      <c r="W64" s="21"/>
    </row>
    <row r="65" spans="2:23" ht="13" customHeight="1">
      <c r="B65" s="15"/>
      <c r="C65" s="16"/>
      <c r="D65" s="3"/>
      <c r="E65" s="14"/>
      <c r="F65" s="45">
        <v>70</v>
      </c>
      <c r="G65" s="35"/>
      <c r="H65" s="35">
        <f t="shared" si="30"/>
        <v>0.35033472623865825</v>
      </c>
      <c r="I65" s="36">
        <f t="shared" si="43"/>
        <v>0.31403396212936013</v>
      </c>
      <c r="J65" s="37"/>
      <c r="K65" s="36">
        <f t="shared" si="32"/>
        <v>19.723465874132877</v>
      </c>
      <c r="L65" s="46">
        <f t="shared" si="44"/>
        <v>577.63455596871233</v>
      </c>
      <c r="M65" s="47">
        <f t="shared" si="34"/>
        <v>284.23278242727196</v>
      </c>
      <c r="N65" s="48">
        <f t="shared" si="35"/>
        <v>-10.354154577041999</v>
      </c>
      <c r="O65" s="48">
        <f t="shared" si="36"/>
        <v>-14.791649395774284</v>
      </c>
      <c r="P65" s="47">
        <f t="shared" si="37"/>
        <v>104</v>
      </c>
      <c r="Q65" s="49" t="str">
        <f t="shared" si="12"/>
        <v>1+5.4</v>
      </c>
      <c r="R65" s="50">
        <f t="shared" si="13"/>
        <v>9.9</v>
      </c>
      <c r="S65" s="51">
        <f t="shared" si="45"/>
        <v>6.2223032858573468</v>
      </c>
      <c r="T65" s="52">
        <f t="shared" si="46"/>
        <v>3.94</v>
      </c>
      <c r="U65" s="23">
        <f t="shared" si="47"/>
        <v>5.628571428571429</v>
      </c>
      <c r="V65" s="18">
        <f t="shared" si="48"/>
        <v>70</v>
      </c>
      <c r="W65" s="21"/>
    </row>
    <row r="66" spans="2:23" ht="13" customHeight="1">
      <c r="B66" s="15"/>
      <c r="C66" s="16"/>
      <c r="D66" s="3"/>
      <c r="E66" s="14"/>
      <c r="F66" s="56">
        <v>75</v>
      </c>
      <c r="G66" s="35"/>
      <c r="H66" s="35">
        <f t="shared" si="30"/>
        <v>0.37961745964383353</v>
      </c>
      <c r="I66" s="36">
        <f t="shared" si="43"/>
        <v>0.34028249561599067</v>
      </c>
      <c r="J66" s="37"/>
      <c r="K66" s="36">
        <f t="shared" si="32"/>
        <v>23.158435364529343</v>
      </c>
      <c r="L66" s="38">
        <f t="shared" si="44"/>
        <v>565.37411479365255</v>
      </c>
      <c r="M66" s="39">
        <f t="shared" si="34"/>
        <v>304.53512402921996</v>
      </c>
      <c r="N66" s="40">
        <f t="shared" si="35"/>
        <v>-12.977030403360544</v>
      </c>
      <c r="O66" s="40">
        <f t="shared" si="36"/>
        <v>-17.302707204480726</v>
      </c>
      <c r="P66" s="39">
        <f t="shared" si="37"/>
        <v>121</v>
      </c>
      <c r="Q66" s="41" t="str">
        <f t="shared" si="12"/>
        <v>2+0.1</v>
      </c>
      <c r="R66" s="42">
        <f t="shared" si="13"/>
        <v>12.5</v>
      </c>
      <c r="S66" s="43">
        <f t="shared" si="45"/>
        <v>5.9609665478513385</v>
      </c>
      <c r="T66" s="44">
        <f t="shared" si="46"/>
        <v>4.5599999999999996</v>
      </c>
      <c r="U66" s="11">
        <f t="shared" si="47"/>
        <v>6.0799999999999992</v>
      </c>
      <c r="V66" s="19">
        <f t="shared" si="48"/>
        <v>75</v>
      </c>
      <c r="W66" s="21"/>
    </row>
    <row r="67" spans="2:23" ht="13" customHeight="1">
      <c r="B67" s="15"/>
      <c r="C67" s="16"/>
      <c r="D67" s="3"/>
      <c r="E67" s="14"/>
    </row>
    <row r="68" spans="2:23" ht="13" customHeight="1">
      <c r="B68" s="15"/>
      <c r="C68" s="16"/>
      <c r="D68" s="3"/>
      <c r="E68" s="14"/>
    </row>
    <row r="69" spans="2:23" ht="14.25" customHeight="1">
      <c r="B69" s="15"/>
      <c r="C69" s="16"/>
      <c r="D69" s="3"/>
      <c r="E69" s="14"/>
    </row>
    <row r="70" spans="2:23" ht="14.25" customHeight="1">
      <c r="B70" s="15"/>
      <c r="C70" s="16"/>
      <c r="D70" s="3"/>
      <c r="E70" s="14"/>
    </row>
    <row r="71" spans="2:23" ht="14.25" customHeight="1">
      <c r="B71" s="15"/>
      <c r="C71" s="16"/>
      <c r="D71" s="3"/>
      <c r="E71" s="14"/>
    </row>
    <row r="72" spans="2:23" ht="14.25" customHeight="1">
      <c r="B72" s="15"/>
      <c r="C72" s="16"/>
      <c r="D72" s="3"/>
      <c r="E72" s="14"/>
    </row>
    <row r="73" spans="2:23" ht="14.25" customHeight="1">
      <c r="B73" s="15"/>
      <c r="C73" s="16"/>
      <c r="D73" s="3"/>
      <c r="E73" s="14"/>
    </row>
    <row r="74" spans="2:23" ht="14.25" customHeight="1">
      <c r="B74" s="15"/>
      <c r="C74" s="16"/>
      <c r="D74" s="3"/>
      <c r="E74" s="14"/>
    </row>
    <row r="75" spans="2:23" ht="14.25" customHeight="1">
      <c r="B75" s="15"/>
      <c r="C75" s="16"/>
      <c r="D75" s="3"/>
      <c r="E75" s="14"/>
    </row>
    <row r="76" spans="2:23" ht="14.25" customHeight="1">
      <c r="B76" s="15"/>
      <c r="C76" s="16"/>
      <c r="D76" s="3"/>
      <c r="E76" s="14"/>
    </row>
    <row r="77" spans="2:23" ht="14.25" customHeight="1">
      <c r="B77" s="15"/>
      <c r="C77" s="16"/>
      <c r="D77" s="3"/>
      <c r="E77" s="14"/>
    </row>
    <row r="78" spans="2:23" ht="14.25" customHeight="1">
      <c r="B78" s="15"/>
      <c r="C78" s="16"/>
      <c r="D78" s="3"/>
      <c r="E78" s="14"/>
    </row>
    <row r="79" spans="2:23" ht="14.25" customHeight="1">
      <c r="B79" s="15"/>
      <c r="C79" s="16"/>
      <c r="D79" s="3"/>
      <c r="E79" s="14"/>
    </row>
    <row r="80" spans="2:23" ht="14.25" customHeight="1">
      <c r="B80" s="15"/>
      <c r="C80" s="16"/>
      <c r="D80" s="3"/>
      <c r="E80" s="14"/>
    </row>
    <row r="81" spans="2:5" ht="14.25" customHeight="1">
      <c r="B81" s="15"/>
      <c r="C81" s="16"/>
      <c r="D81" s="3"/>
      <c r="E81" s="14"/>
    </row>
    <row r="82" spans="2:5" ht="14.25" customHeight="1">
      <c r="B82" s="15"/>
      <c r="C82" s="16"/>
      <c r="D82" s="3"/>
      <c r="E82" s="14"/>
    </row>
    <row r="83" spans="2:5" ht="14.25" customHeight="1">
      <c r="B83" s="15"/>
      <c r="C83" s="16"/>
      <c r="D83" s="3"/>
      <c r="E83" s="14"/>
    </row>
    <row r="84" spans="2:5" ht="14.25" customHeight="1">
      <c r="B84" s="15"/>
      <c r="C84" s="16"/>
      <c r="D84" s="3"/>
      <c r="E84" s="14"/>
    </row>
    <row r="85" spans="2:5" ht="14.25" customHeight="1">
      <c r="B85" s="15"/>
      <c r="C85" s="16"/>
      <c r="D85" s="3"/>
      <c r="E85" s="14"/>
    </row>
    <row r="86" spans="2:5" ht="14.25" customHeight="1">
      <c r="B86" s="15"/>
      <c r="C86" s="16"/>
      <c r="D86" s="3"/>
      <c r="E86" s="14"/>
    </row>
    <row r="87" spans="2:5" ht="14.25" customHeight="1">
      <c r="B87" s="15"/>
      <c r="C87" s="16"/>
      <c r="D87" s="3"/>
      <c r="E87" s="14"/>
    </row>
    <row r="88" spans="2:5" ht="14.25" customHeight="1"/>
  </sheetData>
  <mergeCells count="55">
    <mergeCell ref="AJ1:AL1"/>
    <mergeCell ref="C32:D32"/>
    <mergeCell ref="C26:D26"/>
    <mergeCell ref="C29:D29"/>
    <mergeCell ref="C30:D30"/>
    <mergeCell ref="C31:D31"/>
    <mergeCell ref="C2:D2"/>
    <mergeCell ref="C3:D3"/>
    <mergeCell ref="C5:D5"/>
    <mergeCell ref="C6:D6"/>
    <mergeCell ref="AC31:AE31"/>
    <mergeCell ref="C8:D8"/>
    <mergeCell ref="C9:D9"/>
    <mergeCell ref="C10:D10"/>
    <mergeCell ref="C19:D19"/>
    <mergeCell ref="C15:D15"/>
    <mergeCell ref="C16:D16"/>
    <mergeCell ref="C12:D12"/>
    <mergeCell ref="C14:D14"/>
    <mergeCell ref="X33:Z33"/>
    <mergeCell ref="X30:Y30"/>
    <mergeCell ref="X28:Y28"/>
    <mergeCell ref="X29:Y29"/>
    <mergeCell ref="X26:Y26"/>
    <mergeCell ref="X27:Y27"/>
    <mergeCell ref="X31:Z31"/>
    <mergeCell ref="X39:Z39"/>
    <mergeCell ref="AC34:AI34"/>
    <mergeCell ref="X32:Z32"/>
    <mergeCell ref="AA32:AB32"/>
    <mergeCell ref="AC32:AE32"/>
    <mergeCell ref="AF32:AI32"/>
    <mergeCell ref="AA34:AB34"/>
    <mergeCell ref="AA33:AB33"/>
    <mergeCell ref="AC33:AE33"/>
    <mergeCell ref="AF33:AI33"/>
    <mergeCell ref="X38:Z38"/>
    <mergeCell ref="AA38:AB38"/>
    <mergeCell ref="AC39:AI39"/>
    <mergeCell ref="AC40:AI40"/>
    <mergeCell ref="X1:AI1"/>
    <mergeCell ref="Y5:Z5"/>
    <mergeCell ref="AC35:AI35"/>
    <mergeCell ref="AC36:AI36"/>
    <mergeCell ref="X35:Z35"/>
    <mergeCell ref="AA35:AB35"/>
    <mergeCell ref="X34:Z34"/>
    <mergeCell ref="X37:Z37"/>
    <mergeCell ref="AA37:AB37"/>
    <mergeCell ref="AC37:AI37"/>
    <mergeCell ref="AC38:AI38"/>
    <mergeCell ref="AA36:AB36"/>
    <mergeCell ref="X36:Z36"/>
    <mergeCell ref="AF31:AI31"/>
    <mergeCell ref="AA31:AB31"/>
  </mergeCells>
  <phoneticPr fontId="0" type="noConversion"/>
  <pageMargins left="0.75" right="0.75" top="1" bottom="1" header="0.5" footer="0.5"/>
  <pageSetup scale="125" orientation="portrait" horizontalDpi="300" verticalDpi="3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2" sqref="F62"/>
    </sheetView>
  </sheetViews>
  <sheetFormatPr baseColWidth="10" defaultColWidth="8.83203125" defaultRowHeight="13" x14ac:dyDescent="0"/>
  <sheetData/>
  <phoneticPr fontId="14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Sheet</vt:lpstr>
      <vt:lpstr>Chart</vt:lpstr>
    </vt:vector>
  </TitlesOfParts>
  <Company>Not for Resale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 for Resale</dc:creator>
  <cp:lastModifiedBy>Kevin D. Allen</cp:lastModifiedBy>
  <cp:lastPrinted>2007-12-16T02:28:28Z</cp:lastPrinted>
  <dcterms:created xsi:type="dcterms:W3CDTF">2002-06-24T02:02:04Z</dcterms:created>
  <dcterms:modified xsi:type="dcterms:W3CDTF">2015-07-17T22:16:11Z</dcterms:modified>
</cp:coreProperties>
</file>